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codeName="{DD97A8EA-9A9A-E61F-A557-7D5A7D7259CE}"/>
  <workbookPr codeName="ThisWorkbook" defaultThemeVersion="202300"/>
  <mc:AlternateContent xmlns:mc="http://schemas.openxmlformats.org/markup-compatibility/2006">
    <mc:Choice Requires="x15">
      <x15ac:absPath xmlns:x15ac="http://schemas.microsoft.com/office/spreadsheetml/2010/11/ac" url="D:\Project\Kom Koelmiddel\Model\Final\"/>
    </mc:Choice>
  </mc:AlternateContent>
  <xr:revisionPtr revIDLastSave="0" documentId="13_ncr:1_{FE5D147F-BEBB-46C1-8BA3-27B10612CF76}" xr6:coauthVersionLast="47" xr6:coauthVersionMax="47" xr10:uidLastSave="{00000000-0000-0000-0000-000000000000}"/>
  <workbookProtection workbookAlgorithmName="SHA-512" workbookHashValue="wbatCxz08AhqviZTRRTHKpN79Fcde/S+Fuzejl6IRBaaJ3zR9KVs7fjyvVqnyKOAxarB3NVq2ASLg0x5g7o3Lw==" workbookSaltValue="zQPlxOEz09o1sGK5xqpHRQ==" workbookSpinCount="100000" lockStructure="1"/>
  <bookViews>
    <workbookView xWindow="28680" yWindow="1680" windowWidth="29040" windowHeight="15720" tabRatio="892" xr2:uid="{AD99088C-B026-4CC2-A49C-1DE0659791F7}"/>
  </bookViews>
  <sheets>
    <sheet name="Introductie" sheetId="9" r:id="rId1"/>
    <sheet name="Vragenlijst" sheetId="2" r:id="rId2"/>
    <sheet name="Adviesrichting" sheetId="10" r:id="rId3"/>
    <sheet name="Investeringstabel" sheetId="11" r:id="rId4"/>
    <sheet name="tussenstap advies" sheetId="6" state="hidden" r:id="rId5"/>
    <sheet name="stringopbouw advies" sheetId="4" state="hidden" r:id="rId6"/>
    <sheet name="adviesopties" sheetId="5" state="hidden" r:id="rId7"/>
    <sheet name="Sheet1" sheetId="12" state="hidden" r:id="rId8"/>
    <sheet name="koudemiddelen" sheetId="8" state="hidden" r:id="rId9"/>
    <sheet name="dropdowns" sheetId="3" state="hidden" r:id="rId10"/>
    <sheet name="dynamische dropdowns" sheetId="13" state="hidden" r:id="rId11"/>
  </sheets>
  <definedNames>
    <definedName name="_5b">'dynamische dropdowns'!$D$3:$D$5</definedName>
    <definedName name="_5c">'dynamische dropdowns'!$E$3:$E$8</definedName>
    <definedName name="_5d">'dynamische dropdowns'!$D$13:$D$16</definedName>
    <definedName name="_5e">'dynamische dropdowns'!$E$13:$E$15</definedName>
    <definedName name="_5f">'dynamische dropdowns'!$D$20:$D$22</definedName>
    <definedName name="_5g">'dynamische dropdowns'!$E$20:$E$22</definedName>
    <definedName name="_xleta.AND" hidden="1" xlm="1">#NAME?</definedName>
    <definedName name="_xleta.DROP" hidden="1" xlm="1">#NAME?</definedName>
    <definedName name="_xleta.IF" hidden="1" xlm="1">#NAME?</definedName>
    <definedName name="_xleta.ISBLANK" hidden="1" xlm="1">#NAME?</definedName>
    <definedName name="_xleta.ISNUMBER" hidden="1" xlm="1">#NAME?</definedName>
    <definedName name="_xleta.OR" hidden="1" xlm="1">#NAME?</definedName>
    <definedName name="beginsysteem">'dynamische dropdowns'!$B$2:$B$8</definedName>
    <definedName name="empty_7">dropdowns!$D$27</definedName>
    <definedName name="list_7">dropdowns!$C$27:$C$35</definedName>
    <definedName name="list7">dropdowns!$C$27:$C$35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4" l="1"/>
  <c r="J31" i="4"/>
  <c r="J32" i="4"/>
  <c r="J33" i="4"/>
  <c r="J34" i="4"/>
  <c r="J35" i="4"/>
  <c r="J36" i="4"/>
  <c r="J37" i="4"/>
  <c r="J30" i="4"/>
  <c r="L11" i="2"/>
  <c r="L13" i="2"/>
  <c r="L15" i="2"/>
  <c r="L5" i="2"/>
  <c r="K11" i="2"/>
  <c r="K13" i="2"/>
  <c r="K15" i="2"/>
  <c r="K5" i="2"/>
  <c r="G15" i="2"/>
  <c r="G13" i="2"/>
  <c r="C19" i="2"/>
  <c r="K19" i="2" s="1"/>
  <c r="C9" i="2"/>
  <c r="K9" i="2" s="1"/>
  <c r="C7" i="2"/>
  <c r="K7" i="2" s="1"/>
  <c r="C17" i="2"/>
  <c r="L17" i="2" s="1"/>
  <c r="D33" i="6"/>
  <c r="I33" i="6"/>
  <c r="J33" i="6"/>
  <c r="K33" i="6"/>
  <c r="L33" i="6"/>
  <c r="G33" i="6"/>
  <c r="H33" i="6"/>
  <c r="F33" i="6"/>
  <c r="G19" i="2"/>
  <c r="D15" i="5"/>
  <c r="J28" i="6"/>
  <c r="J27" i="6"/>
  <c r="D11" i="5"/>
  <c r="D10" i="5"/>
  <c r="D9" i="5"/>
  <c r="D8" i="5"/>
  <c r="D7" i="5"/>
  <c r="D6" i="5"/>
  <c r="E6" i="5"/>
  <c r="E8" i="5"/>
  <c r="E10" i="5"/>
  <c r="E12" i="5"/>
  <c r="E14" i="5"/>
  <c r="D14" i="5"/>
  <c r="C16" i="5"/>
  <c r="D17" i="5"/>
  <c r="E17" i="5"/>
  <c r="G17" i="5"/>
  <c r="G15" i="5"/>
  <c r="G14" i="5"/>
  <c r="G13" i="5"/>
  <c r="G12" i="5"/>
  <c r="G11" i="5"/>
  <c r="G10" i="5"/>
  <c r="G9" i="5"/>
  <c r="G8" i="5"/>
  <c r="G7" i="5"/>
  <c r="G6" i="5"/>
  <c r="C5" i="5"/>
  <c r="C4" i="5"/>
  <c r="L31" i="6"/>
  <c r="K31" i="6"/>
  <c r="J31" i="6"/>
  <c r="K30" i="6"/>
  <c r="K28" i="6"/>
  <c r="K26" i="6"/>
  <c r="K24" i="6"/>
  <c r="K22" i="6"/>
  <c r="K19" i="6"/>
  <c r="L19" i="6"/>
  <c r="K20" i="6"/>
  <c r="L20" i="6"/>
  <c r="J20" i="6"/>
  <c r="J19" i="6"/>
  <c r="F27" i="6"/>
  <c r="G27" i="6"/>
  <c r="H27" i="6"/>
  <c r="I27" i="6"/>
  <c r="F28" i="6"/>
  <c r="G28" i="6"/>
  <c r="H28" i="6"/>
  <c r="I28" i="6"/>
  <c r="F29" i="6"/>
  <c r="G29" i="6"/>
  <c r="H29" i="6"/>
  <c r="I29" i="6"/>
  <c r="F30" i="6"/>
  <c r="G30" i="6"/>
  <c r="H30" i="6"/>
  <c r="I30" i="6"/>
  <c r="G23" i="6"/>
  <c r="H23" i="6"/>
  <c r="I23" i="6"/>
  <c r="G24" i="6"/>
  <c r="H24" i="6"/>
  <c r="I24" i="6"/>
  <c r="G25" i="6"/>
  <c r="H25" i="6"/>
  <c r="I25" i="6"/>
  <c r="G26" i="6"/>
  <c r="H26" i="6"/>
  <c r="I26" i="6"/>
  <c r="F23" i="6"/>
  <c r="F24" i="6"/>
  <c r="F25" i="6"/>
  <c r="F26" i="6"/>
  <c r="I4" i="4"/>
  <c r="F4" i="4"/>
  <c r="A21" i="13" s="1"/>
  <c r="A23" i="13" s="1"/>
  <c r="F5" i="4"/>
  <c r="C14" i="10"/>
  <c r="C13" i="10"/>
  <c r="C12" i="10"/>
  <c r="C11" i="10"/>
  <c r="C10" i="10"/>
  <c r="C9" i="10"/>
  <c r="C8" i="10"/>
  <c r="C7" i="10"/>
  <c r="C6" i="10"/>
  <c r="C5" i="10"/>
  <c r="B15" i="9"/>
  <c r="L19" i="2" l="1"/>
  <c r="L9" i="2"/>
  <c r="L7" i="2"/>
  <c r="K17" i="2"/>
  <c r="G7" i="2"/>
  <c r="H7" i="2"/>
  <c r="C4" i="4" l="1"/>
  <c r="B14" i="6"/>
  <c r="B13" i="6"/>
  <c r="B12" i="6"/>
  <c r="B11" i="6"/>
  <c r="B10" i="6"/>
  <c r="B9" i="6"/>
  <c r="B8" i="6"/>
  <c r="B7" i="6"/>
  <c r="B6" i="6"/>
  <c r="B5" i="6"/>
  <c r="K4" i="4"/>
  <c r="J4" i="4"/>
  <c r="E4" i="4" l="1"/>
  <c r="G4" i="4"/>
  <c r="D4" i="4"/>
  <c r="B4" i="4"/>
  <c r="B7" i="4" l="1"/>
  <c r="Q17" i="4" s="1"/>
  <c r="Q18" i="4" l="1"/>
  <c r="Q15" i="4"/>
  <c r="Q20" i="4"/>
  <c r="Q19" i="4"/>
  <c r="O19" i="4" s="1"/>
  <c r="Q14" i="4"/>
  <c r="Q16" i="4"/>
  <c r="Q11" i="4"/>
  <c r="P11" i="4" s="1"/>
  <c r="Q12" i="4"/>
  <c r="Q13" i="4"/>
  <c r="J17" i="4" l="1"/>
  <c r="K17" i="4"/>
  <c r="M18" i="4"/>
  <c r="L18" i="4"/>
  <c r="P18" i="4"/>
  <c r="C18" i="4"/>
  <c r="C17" i="4"/>
  <c r="M17" i="4"/>
  <c r="L17" i="4"/>
  <c r="F17" i="4"/>
  <c r="G17" i="4"/>
  <c r="G18" i="4"/>
  <c r="K18" i="4"/>
  <c r="J18" i="4"/>
  <c r="D18" i="4"/>
  <c r="E18" i="4"/>
  <c r="I18" i="4"/>
  <c r="F18" i="4"/>
  <c r="N18" i="4"/>
  <c r="H18" i="4"/>
  <c r="H14" i="6"/>
  <c r="I14" i="6"/>
  <c r="F14" i="6"/>
  <c r="G17" i="2"/>
  <c r="G18" i="2" s="1"/>
  <c r="E17" i="4"/>
  <c r="B18" i="4"/>
  <c r="D20" i="4"/>
  <c r="J20" i="4"/>
  <c r="H20" i="4"/>
  <c r="F20" i="4"/>
  <c r="L20" i="4"/>
  <c r="I17" i="4"/>
  <c r="H17" i="4"/>
  <c r="J16" i="4"/>
  <c r="H16" i="4"/>
  <c r="I16" i="4"/>
  <c r="N16" i="4"/>
  <c r="K16" i="4"/>
  <c r="M16" i="4"/>
  <c r="L16" i="4"/>
  <c r="D17" i="4"/>
  <c r="B17" i="4"/>
  <c r="G16" i="4"/>
  <c r="F16" i="4"/>
  <c r="E16" i="4"/>
  <c r="N15" i="4"/>
  <c r="C15" i="4"/>
  <c r="E15" i="4"/>
  <c r="B15" i="4"/>
  <c r="D15" i="4"/>
  <c r="B16" i="4"/>
  <c r="D16" i="4"/>
  <c r="C16" i="4"/>
  <c r="Q6" i="4"/>
  <c r="L19" i="4"/>
  <c r="M19" i="4"/>
  <c r="I19" i="4"/>
  <c r="K19" i="4"/>
  <c r="H19" i="4"/>
  <c r="F19" i="4"/>
  <c r="G19" i="4"/>
  <c r="J19" i="4"/>
  <c r="S19" i="4"/>
  <c r="G15" i="4"/>
  <c r="H15" i="4"/>
  <c r="J15" i="4"/>
  <c r="I15" i="4"/>
  <c r="K15" i="4"/>
  <c r="L15" i="4"/>
  <c r="M15" i="4"/>
  <c r="F15" i="4"/>
  <c r="O17" i="4"/>
  <c r="N17" i="4"/>
  <c r="C21" i="2"/>
  <c r="L21" i="2" s="1"/>
  <c r="O18" i="4"/>
  <c r="K13" i="4"/>
  <c r="G13" i="4"/>
  <c r="M13" i="4"/>
  <c r="E13" i="4"/>
  <c r="I13" i="4"/>
  <c r="G12" i="4"/>
  <c r="M12" i="4"/>
  <c r="I12" i="4"/>
  <c r="E12" i="4"/>
  <c r="K12" i="4"/>
  <c r="M11" i="4"/>
  <c r="G11" i="4"/>
  <c r="I11" i="4"/>
  <c r="E11" i="4"/>
  <c r="K11" i="4"/>
  <c r="N11" i="4"/>
  <c r="B11" i="4"/>
  <c r="J11" i="4"/>
  <c r="H11" i="4"/>
  <c r="L11" i="4"/>
  <c r="F11" i="4"/>
  <c r="C11" i="4"/>
  <c r="D11" i="4"/>
  <c r="H13" i="4"/>
  <c r="J13" i="4"/>
  <c r="L13" i="4"/>
  <c r="J12" i="4"/>
  <c r="L12" i="4"/>
  <c r="H12" i="4"/>
  <c r="C12" i="4"/>
  <c r="D12" i="4"/>
  <c r="B12" i="4"/>
  <c r="F12" i="4"/>
  <c r="C13" i="4"/>
  <c r="D13" i="4"/>
  <c r="B13" i="4"/>
  <c r="F13" i="4"/>
  <c r="N13" i="4"/>
  <c r="K21" i="2" l="1"/>
  <c r="E22" i="4"/>
  <c r="B22" i="6" s="1"/>
  <c r="D22" i="6" s="1"/>
  <c r="D22" i="4"/>
  <c r="B21" i="6" s="1"/>
  <c r="C22" i="4"/>
  <c r="B20" i="6" s="1"/>
  <c r="D20" i="6" s="1"/>
  <c r="L22" i="4"/>
  <c r="B29" i="6" s="1"/>
  <c r="H22" i="4"/>
  <c r="B25" i="6" s="1"/>
  <c r="K22" i="4"/>
  <c r="B28" i="6" s="1"/>
  <c r="J22" i="4"/>
  <c r="B27" i="6" s="1"/>
  <c r="G22" i="4"/>
  <c r="B24" i="6" s="1"/>
  <c r="I22" i="4"/>
  <c r="B26" i="6" s="1"/>
  <c r="N22" i="4"/>
  <c r="B31" i="6" s="1"/>
  <c r="M22" i="4"/>
  <c r="B30" i="6" s="1"/>
  <c r="E30" i="6" s="1"/>
  <c r="F22" i="4"/>
  <c r="E28" i="6" l="1"/>
  <c r="D28" i="6"/>
  <c r="D27" i="6"/>
  <c r="D21" i="6"/>
  <c r="E27" i="6"/>
  <c r="E22" i="6"/>
  <c r="K29" i="6"/>
  <c r="D29" i="6"/>
  <c r="E20" i="6"/>
  <c r="E31" i="6"/>
  <c r="D31" i="6"/>
  <c r="E29" i="6"/>
  <c r="J29" i="6"/>
  <c r="E26" i="6"/>
  <c r="J26" i="6"/>
  <c r="E25" i="6"/>
  <c r="K25" i="6"/>
  <c r="J25" i="6"/>
  <c r="L24" i="6"/>
  <c r="J24" i="6"/>
  <c r="E21" i="6"/>
  <c r="K21" i="6"/>
  <c r="E24" i="6"/>
  <c r="D24" i="6"/>
  <c r="K27" i="6"/>
  <c r="L27" i="6"/>
  <c r="L28" i="6"/>
  <c r="D25" i="6"/>
  <c r="L25" i="6"/>
  <c r="D30" i="6"/>
  <c r="J30" i="6"/>
  <c r="L30" i="6"/>
  <c r="J21" i="6"/>
  <c r="L21" i="6"/>
  <c r="L29" i="6"/>
  <c r="L26" i="6"/>
  <c r="L22" i="6"/>
  <c r="J22" i="6"/>
  <c r="D26" i="6"/>
  <c r="C28" i="6"/>
  <c r="C27" i="6"/>
  <c r="O22" i="4"/>
  <c r="B32" i="6" s="1"/>
  <c r="D32" i="6" s="1"/>
  <c r="B23" i="6"/>
  <c r="K23" i="6" s="1"/>
  <c r="C22" i="6"/>
  <c r="C31" i="6"/>
  <c r="C20" i="6"/>
  <c r="E5" i="12" s="1"/>
  <c r="C21" i="6"/>
  <c r="B22" i="4"/>
  <c r="R19" i="4"/>
  <c r="C23" i="2" s="1"/>
  <c r="L23" i="2" s="1"/>
  <c r="E7" i="12" l="1"/>
  <c r="I17" i="12"/>
  <c r="I18" i="12"/>
  <c r="I10" i="12"/>
  <c r="I11" i="12"/>
  <c r="E32" i="6"/>
  <c r="E23" i="6"/>
  <c r="J23" i="6"/>
  <c r="L23" i="6"/>
  <c r="E6" i="12"/>
  <c r="E13" i="12"/>
  <c r="E12" i="12"/>
  <c r="I3" i="12"/>
  <c r="I4" i="12"/>
  <c r="J32" i="6"/>
  <c r="L32" i="6"/>
  <c r="K32" i="6"/>
  <c r="F20" i="6"/>
  <c r="I20" i="6"/>
  <c r="H20" i="6"/>
  <c r="G20" i="6"/>
  <c r="I22" i="6"/>
  <c r="F22" i="6"/>
  <c r="H22" i="6"/>
  <c r="G22" i="6"/>
  <c r="I21" i="6"/>
  <c r="H21" i="6"/>
  <c r="G21" i="6"/>
  <c r="F21" i="6"/>
  <c r="K23" i="2"/>
  <c r="K27" i="2" s="1"/>
  <c r="B19" i="6"/>
  <c r="D19" i="6" s="1"/>
  <c r="P22" i="4"/>
  <c r="B33" i="6" s="1"/>
  <c r="E33" i="6" s="1"/>
  <c r="D23" i="6"/>
  <c r="I31" i="6"/>
  <c r="H31" i="6"/>
  <c r="G31" i="6"/>
  <c r="F31" i="6"/>
  <c r="C32" i="6"/>
  <c r="C23" i="6"/>
  <c r="C25" i="6"/>
  <c r="C26" i="6"/>
  <c r="C29" i="6"/>
  <c r="C24" i="6"/>
  <c r="C30" i="6"/>
  <c r="E8" i="12" l="1"/>
  <c r="E9" i="12"/>
  <c r="I15" i="12"/>
  <c r="I21" i="12"/>
  <c r="I22" i="12"/>
  <c r="I20" i="12"/>
  <c r="I13" i="12"/>
  <c r="I19" i="12"/>
  <c r="I23" i="12"/>
  <c r="I16" i="12"/>
  <c r="I12" i="12"/>
  <c r="I14" i="12"/>
  <c r="E19" i="6"/>
  <c r="E10" i="12"/>
  <c r="E17" i="12"/>
  <c r="I8" i="12"/>
  <c r="E18" i="12"/>
  <c r="E14" i="12"/>
  <c r="E16" i="12"/>
  <c r="E15" i="12"/>
  <c r="E11" i="12"/>
  <c r="I5" i="12"/>
  <c r="I6" i="12"/>
  <c r="I9" i="12"/>
  <c r="I7" i="12"/>
  <c r="I32" i="6"/>
  <c r="H32" i="6"/>
  <c r="G32" i="6"/>
  <c r="F32" i="6"/>
  <c r="K3" i="3"/>
  <c r="M2" i="3"/>
  <c r="C19" i="6"/>
  <c r="C33" i="6"/>
  <c r="E3" i="12" l="1"/>
  <c r="F19" i="6"/>
  <c r="I19" i="6"/>
  <c r="H19" i="6"/>
  <c r="G19" i="6"/>
  <c r="E4" i="12"/>
  <c r="I24" i="12"/>
  <c r="A20" i="10" l="1" a="1"/>
  <c r="A20" i="10" s="1"/>
  <c r="A16" i="10" s="1"/>
  <c r="A1" i="12" s="1"/>
  <c r="B4" i="12" s="1"/>
  <c r="O19" i="6" a="1"/>
  <c r="O19" i="6" s="1"/>
  <c r="B10" i="12" l="1"/>
  <c r="B14" i="12"/>
  <c r="B8" i="12"/>
  <c r="B13" i="12"/>
  <c r="B7" i="12"/>
  <c r="B11" i="12"/>
  <c r="B12" i="12"/>
  <c r="A28" i="12" s="1"/>
  <c r="B15" i="12"/>
  <c r="B3" i="12"/>
  <c r="B6" i="12"/>
  <c r="B9" i="12"/>
  <c r="B16" i="12"/>
  <c r="B5"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tc={6721B1BF-8A4E-4187-A4E8-3EEE3495C4CE}</author>
    <author>tc={38FDB2DC-B449-4EA2-A306-A3E9EEC8A88A}</author>
    <author>tc={701E0400-E1FE-4E8A-AE45-F16E948D6287}</author>
    <author>tc={B84AF6DA-4790-487D-9BD2-703E06F9676D}</author>
    <author>tc={A29431C9-ECE3-41D2-9968-3CE404CFFA38}</author>
    <author>tc={6E03837B-679E-4F5B-A7F3-5447122A18FB}</author>
    <author>tc={FE6FF46F-09E7-42BC-B106-563F36FE7CBC}</author>
    <author>tc={13015908-34A9-416C-BC32-5D2206852EDC}</author>
    <author>tc={1B30BCD1-802A-4543-A557-AAB3BDC14060}</author>
  </authors>
  <commentList>
    <comment ref="D46" authorId="0" shapeId="0" xr:uid="{6721B1BF-8A4E-4187-A4E8-3EEE3495C4CE}">
      <text>
        <t>[Threaded comment]
Your version of Excel allows you to read this threaded comment; however, any edits to it will get removed if the file is opened in a newer version of Excel. Learn more: https://go.microsoft.com/fwlink/?linkid=870924
Comment:
    Ik heb geen reden om dit per installatie type anders in te vullen; marginaal verschil in energieverbruik bij pompsystemen; schaalgrootte voordeel bij de grotere installaties</t>
      </text>
    </comment>
    <comment ref="F46" authorId="1" shapeId="0" xr:uid="{38FDB2DC-B449-4EA2-A306-A3E9EEC8A88A}">
      <text>
        <t xml:space="preserve">[Threaded comment]
Your version of Excel allows you to read this threaded comment; however, any edits to it will get removed if the file is opened in a newer version of Excel. Learn more: https://go.microsoft.com/fwlink/?linkid=870924
Comment:
    Adriaan: 40% is aan de hoge kan. Adriaan denkt 20%. </t>
      </text>
    </comment>
    <comment ref="F47" authorId="2" shapeId="0" xr:uid="{701E0400-E1FE-4E8A-AE45-F16E948D6287}">
      <text>
        <t xml:space="preserve">[Threaded comment]
Your version of Excel allows you to read this threaded comment; however, any edits to it will get removed if the file is opened in a newer version of Excel. Learn more: https://go.microsoft.com/fwlink/?linkid=870924
Comment:
    Adriaan: energie kan hoger zijn maar hoef niet. A2 koelmiddelen aantal variaat. 
407 -&gt; alternatief 
Adriaan gaat er naar kijken. </t>
      </text>
    </comment>
    <comment ref="F48" authorId="3" shapeId="0" xr:uid="{B84AF6DA-4790-487D-9BD2-703E06F9676D}">
      <text>
        <t>[Threaded comment]
Your version of Excel allows you to read this threaded comment; however, any edits to it will get removed if the file is opened in a newer version of Excel. Learn more: https://go.microsoft.com/fwlink/?linkid=870924
Comment:
    Relatief oude installatie; lekrisico = gemiddeld mee bijvullen, detectie en onderhoud</t>
      </text>
    </comment>
    <comment ref="B52" authorId="4" shapeId="0" xr:uid="{A29431C9-ECE3-41D2-9968-3CE404CFFA38}">
      <text>
        <t>[Threaded comment]
Your version of Excel allows you to read this threaded comment; however, any edits to it will get removed if the file is opened in a newer version of Excel. Learn more: https://go.microsoft.com/fwlink/?linkid=870924
Comment:
    Gekozen voor direct pomp vanwege referentie; uiteraard zou ook een direct expansie (meerdere centrales) gekozen kunnen worden. Indirecte systemen zouden ook bij deze capaciteit kunnen horen en als referentie gekozen kunnen worden, maar hiervan ontbreken mij voldoende kengetallen; heb hiervoor wel aparte keuze toegevoegd</t>
      </text>
    </comment>
    <comment ref="B55" authorId="5" shapeId="0" xr:uid="{6E03837B-679E-4F5B-A7F3-5447122A18FB}">
      <text>
        <t>[Threaded comment]
Your version of Excel allows you to read this threaded comment; however, any edits to it will get removed if the file is opened in a newer version of Excel. Learn more: https://go.microsoft.com/fwlink/?linkid=870924
Comment:
    Gekozen voor direct pomp vanwege referentie; Indirecte systemen zouden ook bij deze capaciteit horen en als referentie gekozen kunnen worden, maar hiervan ontbreken mij voldoende kengetallen</t>
      </text>
    </comment>
    <comment ref="B58" authorId="6" shapeId="0" xr:uid="{FE6FF46F-09E7-42BC-B106-563F36FE7CBC}">
      <text>
        <t>[Threaded comment]
Your version of Excel allows you to read this threaded comment; however, any edits to it will get removed if the file is opened in a newer version of Excel. Learn more: https://go.microsoft.com/fwlink/?linkid=870924
Comment:
    Gekozen voor direct pomp vanwege referentie; Indirecte systemen zouden ook bij deze capaciteit horen en als referentie gekozen kunnen worden, maar hiervan ontbreken mij voldoende kengetallen</t>
      </text>
    </comment>
    <comment ref="L58" authorId="7" shapeId="0" xr:uid="{13015908-34A9-416C-BC32-5D2206852EDC}">
      <text>
        <t xml:space="preserve">[Threaded comment]
Your version of Excel allows you to read this threaded comment; however, any edits to it will get removed if the file is opened in a newer version of Excel. Learn more: https://go.microsoft.com/fwlink/?linkid=870924
Comment:
    Alleen vervangen primaire deel
</t>
      </text>
    </comment>
    <comment ref="O58" authorId="8" shapeId="0" xr:uid="{1B30BCD1-802A-4543-A557-AAB3BDC14060}">
      <text>
        <t>[Threaded comment]
Your version of Excel allows you to read this threaded comment; however, any edits to it will get removed if the file is opened in a newer version of Excel. Learn more: https://go.microsoft.com/fwlink/?linkid=870924
Comment:
    Alleen vervanging van primaire deel = goedkoper!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tc={DFD7C5C5-F937-4CDB-95A5-C0AB1777F048}</author>
    <author>tc={8E06CBF8-54A1-479E-8F3B-3DEB3B9AA2E0}</author>
    <author>tc={AA0B1CF6-90C9-4553-90A0-DFA197C68683}</author>
    <author>tc={6E2310B6-95D1-45A6-811D-D6C05C65CFAD}</author>
  </authors>
  <commentList>
    <comment ref="J17" authorId="0" shapeId="0" xr:uid="{DFD7C5C5-F937-4CDB-95A5-C0AB1777F048}">
      <text>
        <t>[Threaded comment]
Your version of Excel allows you to read this threaded comment; however, any edits to it will get removed if the file is opened in a newer version of Excel. Learn more: https://go.microsoft.com/fwlink/?linkid=870924
Comment:
    Bekijk situatie Q15=1 nog apart, want volgens begrotingstabel kun je niet van DXe naar DPS</t>
      </text>
    </comment>
    <comment ref="K17" authorId="1" shapeId="0" xr:uid="{8E06CBF8-54A1-479E-8F3B-3DEB3B9AA2E0}">
      <text>
        <t>[Threaded comment]
Your version of Excel allows you to read this threaded comment; however, any edits to it will get removed if the file is opened in a newer version of Excel. Learn more: https://go.microsoft.com/fwlink/?linkid=870924
Comment:
    Bekijk situatie Q15=1 nog apart, want volgens begrotingstabel kun je niet van DXe naar DPS</t>
      </text>
    </comment>
    <comment ref="L17" authorId="2" shapeId="0" xr:uid="{AA0B1CF6-90C9-4553-90A0-DFA197C68683}">
      <text>
        <t>[Threaded comment]
Your version of Excel allows you to read this threaded comment; however, any edits to it will get removed if the file is opened in a newer version of Excel. Learn more: https://go.microsoft.com/fwlink/?linkid=870924
Comment:
    Bekijk situatie Q15=1 nog apart, want volgens begrotingstabel kun je niet van DXe naar DPS</t>
      </text>
    </comment>
    <comment ref="M17" authorId="3" shapeId="0" xr:uid="{6E2310B6-95D1-45A6-811D-D6C05C65CFAD}">
      <text>
        <t>[Threaded comment]
Your version of Excel allows you to read this threaded comment; however, any edits to it will get removed if the file is opened in a newer version of Excel. Learn more: https://go.microsoft.com/fwlink/?linkid=870924
Comment:
    Bekijk situatie Q15=1 nog apart, want volgens begrotingstabel kun je niet van DXe naar DPS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tc={F38A7D8B-D0CD-455C-BA5E-083EEE9C0523}</author>
    <author>tc={D56742BB-881A-43E4-9AE8-2D81A35308C0}</author>
  </authors>
  <commentList>
    <comment ref="D14" authorId="0" shapeId="0" xr:uid="{F38A7D8B-D0CD-455C-BA5E-083EEE9C0523}">
      <text>
        <t>[Threaded comment]
Your version of Excel allows you to read this threaded comment; however, any edits to it will get removed if the file is opened in a newer version of Excel. Learn more: https://go.microsoft.com/fwlink/?linkid=870924
Comment:
    Als 2x250 kW wel mogeljk</t>
      </text>
    </comment>
    <comment ref="D15" authorId="1" shapeId="0" xr:uid="{D56742BB-881A-43E4-9AE8-2D81A35308C0}">
      <text>
        <t>[Threaded comment]
Your version of Excel allows you to read this threaded comment; however, any edits to it will get removed if the file is opened in a newer version of Excel. Learn more: https://go.microsoft.com/fwlink/?linkid=870924
Comment:
    Als 2x250 kW wel mogeljk</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<sst xmlns="http://schemas.openxmlformats.org/spreadsheetml/2006/main" count="816" uniqueCount="366">
  <si>
    <t>Wat is de leeftijd van uw koelsysteem?</t>
  </si>
  <si>
    <t>minder dan 25 jaar</t>
  </si>
  <si>
    <t>tenminste 25 jaar</t>
  </si>
  <si>
    <t>tenminste 750 GWP</t>
  </si>
  <si>
    <t>minder dan 750 GWP</t>
  </si>
  <si>
    <t>ja</t>
  </si>
  <si>
    <t>nee</t>
  </si>
  <si>
    <t>Wat is de functie van uw koelsysteem</t>
  </si>
  <si>
    <t>inkoel, bewaarcel met minimaal vochtverlies</t>
  </si>
  <si>
    <t>bewaarcel basiscapaciteit zonder specifieke eisen qua vochtverlies onder 500 kW</t>
  </si>
  <si>
    <t>bewaarcel basiscapaciteit zonder specifieke eisen qua vochtverlies over 500 kW</t>
  </si>
  <si>
    <t>a</t>
  </si>
  <si>
    <t>b</t>
  </si>
  <si>
    <t>c</t>
  </si>
  <si>
    <t>d</t>
  </si>
  <si>
    <t>Wat is uw huidige type koelsysteem?</t>
  </si>
  <si>
    <t>e</t>
  </si>
  <si>
    <t>minder dan 100%</t>
  </si>
  <si>
    <t>tenminste 100%</t>
  </si>
  <si>
    <t>zomer</t>
  </si>
  <si>
    <t>herfst, winter, lente</t>
  </si>
  <si>
    <t>Is er een extra elektrische aansluiting mogelijk?</t>
  </si>
  <si>
    <t>f</t>
  </si>
  <si>
    <t>gelijk koelvermogen</t>
  </si>
  <si>
    <t>g</t>
  </si>
  <si>
    <t>1a</t>
  </si>
  <si>
    <t>2a</t>
  </si>
  <si>
    <t>3a</t>
  </si>
  <si>
    <t>4a</t>
  </si>
  <si>
    <t>5a</t>
  </si>
  <si>
    <t>6a</t>
  </si>
  <si>
    <t>7a</t>
  </si>
  <si>
    <t>1b</t>
  </si>
  <si>
    <t>1c</t>
  </si>
  <si>
    <t>2b</t>
  </si>
  <si>
    <t>2c</t>
  </si>
  <si>
    <t>3b</t>
  </si>
  <si>
    <t>3c</t>
  </si>
  <si>
    <t>4b</t>
  </si>
  <si>
    <t>4c</t>
  </si>
  <si>
    <t>4d</t>
  </si>
  <si>
    <t>5b</t>
  </si>
  <si>
    <t>5c</t>
  </si>
  <si>
    <t>5d</t>
  </si>
  <si>
    <t>5e</t>
  </si>
  <si>
    <t>6b</t>
  </si>
  <si>
    <t>6c</t>
  </si>
  <si>
    <t>7b</t>
  </si>
  <si>
    <t>7c</t>
  </si>
  <si>
    <t>7d</t>
  </si>
  <si>
    <t>7e</t>
  </si>
  <si>
    <t>7f</t>
  </si>
  <si>
    <t>7g</t>
  </si>
  <si>
    <t>8a</t>
  </si>
  <si>
    <t>8b</t>
  </si>
  <si>
    <t>8c</t>
  </si>
  <si>
    <t>9a</t>
  </si>
  <si>
    <t>9b</t>
  </si>
  <si>
    <t>9c</t>
  </si>
  <si>
    <t>10a</t>
  </si>
  <si>
    <t>10b</t>
  </si>
  <si>
    <t>10c</t>
  </si>
  <si>
    <t>string=</t>
  </si>
  <si>
    <t>Mogelijk resultaten</t>
  </si>
  <si>
    <t>KLIK OP DE GROENE CEL EN DAARNA OP HET PIJLTJE DAT ERNAAST VERSCHIJNT VOOR EEN KEUZEMENU</t>
  </si>
  <si>
    <t>4a1</t>
  </si>
  <si>
    <t>4a2</t>
  </si>
  <si>
    <t>4b1</t>
  </si>
  <si>
    <t>4b2</t>
  </si>
  <si>
    <t>4c1</t>
  </si>
  <si>
    <t>4c2</t>
  </si>
  <si>
    <t>4d1</t>
  </si>
  <si>
    <t>4d2</t>
  </si>
  <si>
    <t>empty-7</t>
  </si>
  <si>
    <t>list-7</t>
  </si>
  <si>
    <t>verhoging: naar 150-500 kW (direct pompsysteem (DPS))</t>
  </si>
  <si>
    <t>verhoging: naar 150-500 kW (indirect pompsysteem (IDPS))</t>
  </si>
  <si>
    <t>Onderstaand vindt u een samenvatting van het advies, in relatie tot uw bestaande installatie. Elke installatie dient een eigen adviestraject te doorlopen</t>
  </si>
  <si>
    <t>Omschrijving</t>
  </si>
  <si>
    <t>Aanpassings-advies</t>
  </si>
  <si>
    <t>TOELICHTING</t>
  </si>
  <si>
    <r>
      <t>In deze cel kan specifieke informatie worden opgenomen, die nadere toelichting verstrekt over bijzondere consequenties, voorwaarden, aandachtspunten van de voorgestelde aanpassingen. Vaste punten z</t>
    </r>
    <r>
      <rPr>
        <i/>
        <sz val="10"/>
        <color rgb="FF000000"/>
        <rFont val="Times New Roman"/>
        <family val="1"/>
      </rPr>
      <t xml:space="preserve">ullen </t>
    </r>
    <r>
      <rPr>
        <i/>
        <sz val="8.5"/>
        <color rgb="FF000000"/>
        <rFont val="Verdana"/>
        <family val="2"/>
      </rPr>
      <t>zijn:</t>
    </r>
  </si>
  <si>
    <r>
      <t>-</t>
    </r>
    <r>
      <rPr>
        <sz val="7"/>
        <color rgb="FF000000"/>
        <rFont val="Times New Roman"/>
        <family val="1"/>
      </rPr>
      <t xml:space="preserve">         </t>
    </r>
    <r>
      <rPr>
        <i/>
        <sz val="8.5"/>
        <color rgb="FF000000"/>
        <rFont val="Verdana"/>
        <family val="2"/>
      </rPr>
      <t>Mogelijk</t>
    </r>
    <r>
      <rPr>
        <sz val="10"/>
        <color rgb="FF000000"/>
        <rFont val="Times New Roman"/>
        <family val="1"/>
      </rPr>
      <t>e</t>
    </r>
    <r>
      <rPr>
        <i/>
        <sz val="8.5"/>
        <color rgb="FF000000"/>
        <rFont val="Verdana"/>
        <family val="2"/>
      </rPr>
      <t xml:space="preserve"> verandering van wetgeving in de toekomst</t>
    </r>
  </si>
  <si>
    <r>
      <t>-</t>
    </r>
    <r>
      <rPr>
        <sz val="7"/>
        <color rgb="FF000000"/>
        <rFont val="Times New Roman"/>
        <family val="1"/>
      </rPr>
      <t xml:space="preserve">         </t>
    </r>
    <r>
      <rPr>
        <i/>
        <sz val="8.5"/>
        <color rgb="FF000000"/>
        <rFont val="Verdana"/>
        <family val="2"/>
      </rPr>
      <t xml:space="preserve">Altijd de resultaat verder bekijken met de specifieke </t>
    </r>
    <r>
      <rPr>
        <sz val="10"/>
        <color rgb="FF000000"/>
        <rFont val="Times New Roman"/>
        <family val="1"/>
      </rPr>
      <t>behoefte</t>
    </r>
    <r>
      <rPr>
        <i/>
        <sz val="8.5"/>
        <color rgb="FF000000"/>
        <rFont val="Verdana"/>
        <family val="2"/>
      </rPr>
      <t xml:space="preserve"> van het bedrijf. Een bepaald </t>
    </r>
    <r>
      <rPr>
        <i/>
        <sz val="10"/>
        <color rgb="FF000000"/>
        <rFont val="Times New Roman"/>
        <family val="1"/>
      </rPr>
      <t>algoritme</t>
    </r>
    <r>
      <rPr>
        <i/>
        <sz val="8.5"/>
        <color rgb="FF000000"/>
        <rFont val="Verdana"/>
        <family val="2"/>
      </rPr>
      <t xml:space="preserve"> werd gebruik</t>
    </r>
    <r>
      <rPr>
        <i/>
        <sz val="10"/>
        <color rgb="FF000000"/>
        <rFont val="Times New Roman"/>
        <family val="1"/>
      </rPr>
      <t>t</t>
    </r>
    <r>
      <rPr>
        <i/>
        <sz val="8.5"/>
        <color rgb="FF000000"/>
        <rFont val="Verdana"/>
        <family val="2"/>
      </rPr>
      <t>. Het is de bedoeling om het mode</t>
    </r>
    <r>
      <rPr>
        <i/>
        <sz val="10"/>
        <color rgb="FF000000"/>
        <rFont val="Times New Roman"/>
        <family val="1"/>
      </rPr>
      <t>l te</t>
    </r>
    <r>
      <rPr>
        <i/>
        <sz val="8.5"/>
        <color rgb="FF000000"/>
        <rFont val="Verdana"/>
        <family val="2"/>
      </rPr>
      <t xml:space="preserve"> laten werken</t>
    </r>
    <r>
      <rPr>
        <i/>
        <sz val="10"/>
        <color rgb="FF000000"/>
        <rFont val="Times New Roman"/>
        <family val="1"/>
      </rPr>
      <t>,</t>
    </r>
    <r>
      <rPr>
        <i/>
        <sz val="8.5"/>
        <color rgb="FF000000"/>
        <rFont val="Verdana"/>
        <family val="2"/>
      </rPr>
      <t xml:space="preserve"> maar vanuit </t>
    </r>
    <r>
      <rPr>
        <i/>
        <sz val="10"/>
        <color rgb="FF000000"/>
        <rFont val="Times New Roman"/>
        <family val="1"/>
      </rPr>
      <t xml:space="preserve">de </t>
    </r>
    <r>
      <rPr>
        <i/>
        <sz val="8.5"/>
        <color rgb="FF000000"/>
        <rFont val="Verdana"/>
        <family val="2"/>
      </rPr>
      <t>gekozen expertise. Er zit dus een flexibel laag omheen dat de gebruiker moet rekening meehouden.</t>
    </r>
  </si>
  <si>
    <r>
      <t>-</t>
    </r>
    <r>
      <rPr>
        <sz val="7"/>
        <color rgb="FF000000"/>
        <rFont val="Times New Roman"/>
        <family val="1"/>
      </rPr>
      <t xml:space="preserve">         </t>
    </r>
    <r>
      <rPr>
        <i/>
        <sz val="10"/>
        <color rgb="FF000000"/>
        <rFont val="Times New Roman"/>
        <family val="1"/>
      </rPr>
      <t>Z</t>
    </r>
    <r>
      <rPr>
        <i/>
        <sz val="8.5"/>
        <color rgb="FF000000"/>
        <rFont val="Verdana"/>
        <family val="2"/>
      </rPr>
      <t xml:space="preserve">org </t>
    </r>
    <r>
      <rPr>
        <i/>
        <sz val="10"/>
        <color rgb="FF000000"/>
        <rFont val="Times New Roman"/>
        <family val="1"/>
      </rPr>
      <t xml:space="preserve">in alle gevallen </t>
    </r>
    <r>
      <rPr>
        <i/>
        <sz val="8.5"/>
        <color rgb="FF000000"/>
        <rFont val="Verdana"/>
        <family val="2"/>
      </rPr>
      <t>dat de juiste veiligheid</t>
    </r>
    <r>
      <rPr>
        <i/>
        <sz val="10"/>
        <color rgb="FF000000"/>
        <rFont val="Times New Roman"/>
        <family val="1"/>
      </rPr>
      <t>s</t>
    </r>
    <r>
      <rPr>
        <i/>
        <sz val="8.5"/>
        <color rgb="FF000000"/>
        <rFont val="Verdana"/>
        <family val="2"/>
      </rPr>
      <t xml:space="preserve">voorzieningen </t>
    </r>
    <r>
      <rPr>
        <i/>
        <sz val="10"/>
        <color rgb="FF000000"/>
        <rFont val="Times New Roman"/>
        <family val="1"/>
      </rPr>
      <t>worden getroffen</t>
    </r>
    <r>
      <rPr>
        <i/>
        <sz val="8.5"/>
        <color rgb="FF000000"/>
        <rFont val="Verdana"/>
        <family val="2"/>
      </rPr>
      <t>.</t>
    </r>
  </si>
  <si>
    <r>
      <t>-</t>
    </r>
    <r>
      <rPr>
        <sz val="7"/>
        <color rgb="FF000000"/>
        <rFont val="Times New Roman"/>
        <family val="1"/>
      </rPr>
      <t xml:space="preserve">         </t>
    </r>
    <r>
      <rPr>
        <i/>
        <sz val="8.5"/>
        <color rgb="FF000000"/>
        <rFont val="Verdana"/>
        <family val="2"/>
      </rPr>
      <t>Relatie</t>
    </r>
    <r>
      <rPr>
        <i/>
        <sz val="10"/>
        <color rgb="FF000000"/>
        <rFont val="Times New Roman"/>
        <family val="1"/>
      </rPr>
      <t xml:space="preserve">ve </t>
    </r>
    <r>
      <rPr>
        <i/>
        <sz val="8.5"/>
        <color rgb="FF000000"/>
        <rFont val="Verdana"/>
        <family val="2"/>
      </rPr>
      <t>kostentabel is gemaakt met de kennis</t>
    </r>
    <r>
      <rPr>
        <i/>
        <sz val="10"/>
        <color rgb="FF000000"/>
        <rFont val="Times New Roman"/>
        <family val="1"/>
      </rPr>
      <t xml:space="preserve"> ten tijde van het ontwikkelen van het </t>
    </r>
    <r>
      <rPr>
        <i/>
        <sz val="8.5"/>
        <color rgb="FF000000"/>
        <rFont val="Verdana"/>
        <family val="2"/>
      </rPr>
      <t xml:space="preserve">model. </t>
    </r>
  </si>
  <si>
    <t>1.      Leeftijd koeling systeem</t>
  </si>
  <si>
    <t>2.      Koudemiddel in gebruikt</t>
  </si>
  <si>
    <t>3.      Originele koudemiddel</t>
  </si>
  <si>
    <t>4.      Functies koelcel</t>
  </si>
  <si>
    <t>6.      Extra elektrisch aansluiting mogelijk</t>
  </si>
  <si>
    <t>8.      Van F-gas af</t>
  </si>
  <si>
    <t>9.      Investeringsbudget t.o.v de initiële investering</t>
  </si>
  <si>
    <t xml:space="preserve">5.      Huidige koelsysteem </t>
  </si>
  <si>
    <t xml:space="preserve">7.      Koelvermogen  in de toekomst  (kW)  </t>
  </si>
  <si>
    <t>10.    Seizoen meest in gebruikt</t>
  </si>
  <si>
    <t>Adviezen</t>
  </si>
  <si>
    <t>Voor schatting investering, onderhoud, en energiekosten: zie tabel hier onder (tabel 2)</t>
  </si>
  <si>
    <t>aanname:</t>
  </si>
  <si>
    <t>niet van DPS naar Dxe of DXc</t>
  </si>
  <si>
    <t>Advies transitie koudemiddel</t>
  </si>
  <si>
    <t>F-gas</t>
  </si>
  <si>
    <t>propaan</t>
  </si>
  <si>
    <t>CO2</t>
  </si>
  <si>
    <t>NH3</t>
  </si>
  <si>
    <t>gassen</t>
  </si>
  <si>
    <t>huidig systeem</t>
  </si>
  <si>
    <t>nieuw systeem</t>
  </si>
  <si>
    <t>huidig koudemiddel</t>
  </si>
  <si>
    <t>GWP</t>
  </si>
  <si>
    <t>alternatief 1</t>
  </si>
  <si>
    <t>GWP alt 1</t>
  </si>
  <si>
    <t>alternatief 2</t>
  </si>
  <si>
    <t>GWP alt 2</t>
  </si>
  <si>
    <t>alternatief 3</t>
  </si>
  <si>
    <t>GWP alt 3</t>
  </si>
  <si>
    <t>alternatief 4</t>
  </si>
  <si>
    <t>GWP alt 4</t>
  </si>
  <si>
    <t>R12</t>
  </si>
  <si>
    <t>f.o.</t>
  </si>
  <si>
    <t>R1234yf (XL10)</t>
  </si>
  <si>
    <t>0.5</t>
  </si>
  <si>
    <t>R513a (with R134a)</t>
  </si>
  <si>
    <t>R456a</t>
  </si>
  <si>
    <t>R152a</t>
  </si>
  <si>
    <t>R22</t>
  </si>
  <si>
    <t>R454a</t>
  </si>
  <si>
    <t>R447a</t>
  </si>
  <si>
    <t>R404a</t>
  </si>
  <si>
    <t>R455A</t>
  </si>
  <si>
    <t>R507</t>
  </si>
  <si>
    <t>R134a</t>
  </si>
  <si>
    <t>R513a</t>
  </si>
  <si>
    <t>R442d</t>
  </si>
  <si>
    <t>R449a</t>
  </si>
  <si>
    <t>R448a</t>
  </si>
  <si>
    <t>R407f</t>
  </si>
  <si>
    <t>f.o</t>
  </si>
  <si>
    <t>natuurlijk gas</t>
  </si>
  <si>
    <t>F-gas nu</t>
  </si>
  <si>
    <t>altern.1</t>
  </si>
  <si>
    <t>altern.2</t>
  </si>
  <si>
    <t>altern.3</t>
  </si>
  <si>
    <t>NU</t>
  </si>
  <si>
    <t>uitgangspunt</t>
  </si>
  <si>
    <t>behoud huidig systeem</t>
  </si>
  <si>
    <t>gedeeltelijke ombouw</t>
  </si>
  <si>
    <t>4. volledige vervanging</t>
  </si>
  <si>
    <t>direct expansie 0-150kW</t>
  </si>
  <si>
    <t>direct pomp 25-500kW</t>
  </si>
  <si>
    <t>indirect pomp / CO2 secundair</t>
  </si>
  <si>
    <t>indirect pomp / koudedrager &gt;150kW</t>
  </si>
  <si>
    <t>Systeem koelcapaciteit</t>
  </si>
  <si>
    <t>Referentie koelsysteem met synthetisch koudemiddel</t>
  </si>
  <si>
    <t>aandeel (%) in exploitatie kosten</t>
  </si>
  <si>
    <t>referentie installatie (index = 100)</t>
  </si>
  <si>
    <t>1. ombouw en wissel naar alternatief F-gas</t>
  </si>
  <si>
    <t>2. beperken inhoud F-gas =&gt; indirect (koude drager) pompsysteem</t>
  </si>
  <si>
    <t>3. (en) wisselen naar natuurlijk (zo mogelijk)</t>
  </si>
  <si>
    <t>&lt; 25 kWatt</t>
  </si>
  <si>
    <t>direct expansie (enkelvoudig)</t>
  </si>
  <si>
    <t>investering</t>
  </si>
  <si>
    <t>n.v.t.</t>
  </si>
  <si>
    <t>(~  tot 100 ton product)</t>
  </si>
  <si>
    <t>energie</t>
  </si>
  <si>
    <t>onderhoud</t>
  </si>
  <si>
    <t>25-150 kWatt</t>
  </si>
  <si>
    <t>direct expansie (centraal)</t>
  </si>
  <si>
    <t>165 ?</t>
  </si>
  <si>
    <t>(~  100 tot 1500 ton product)</t>
  </si>
  <si>
    <t>150-500 kWatt</t>
  </si>
  <si>
    <t>direct pomp systeem</t>
  </si>
  <si>
    <t>(~  1500 tot 4000 ton product)</t>
  </si>
  <si>
    <t>&gt; 500 kWatt</t>
  </si>
  <si>
    <t>(~ &gt; 4000 ton product)</t>
  </si>
  <si>
    <t>&gt; 150 kWatt</t>
  </si>
  <si>
    <t>indirect pomp systeem</t>
  </si>
  <si>
    <t>altern.4</t>
  </si>
  <si>
    <r>
      <t>CO</t>
    </r>
    <r>
      <rPr>
        <vertAlign val="subscript"/>
        <sz val="11"/>
        <color theme="1"/>
        <rFont val="Aptos Narrow"/>
        <family val="2"/>
        <scheme val="minor"/>
      </rPr>
      <t>2</t>
    </r>
    <r>
      <rPr>
        <sz val="11"/>
        <color theme="1"/>
        <rFont val="Aptos Narrow"/>
        <family val="2"/>
        <scheme val="minor"/>
      </rPr>
      <t xml:space="preserve"> kan in sommige gevallen wel een optie zijn.</t>
    </r>
  </si>
  <si>
    <t>disclaimer:          *</t>
  </si>
  <si>
    <t>**</t>
  </si>
  <si>
    <t>algemeen</t>
  </si>
  <si>
    <t>een direct expansie installatie is voor de investering-, energie- en onderhoudskosten op 100 gesteld</t>
  </si>
  <si>
    <t>het aandeel van kostenpost (investerings-, energie onderhoudskosten) is op basis van exploitatie toetsen; de investeringskosten gelden voor gemiddeld 15 jaar, de energie- en onderhoudskosten gelden voor de levensduur van de installatie.</t>
  </si>
  <si>
    <t>vb.  dus rekening houden met eindresultaat bij 12 % verschil in energie- en onderhoudskosten (over 35 jaar) versus een meerinvestering van 20 % over 15 jaar.</t>
  </si>
  <si>
    <t>investeringskosten kennen een grote variatie door uitvoering, commerciële aanbiedingen (soms &gt; 50 %) en zullen door o.a. schaalgrootte van projecten lastig in te schatten zijn. Genoemd zijn % verschillen vanuit een breed vergelijk van afgelopen jaren en logische redenatie</t>
  </si>
  <si>
    <t>energieverbruik</t>
  </si>
  <si>
    <t>energie voor compressie, condensorventilatoren, verdamperventilatoren, pompen, ontdooiing volgens vergelijkbare eindcondities (te koelen ruimte)</t>
  </si>
  <si>
    <t>ruimte temperatuur</t>
  </si>
  <si>
    <t>gemiddelde To</t>
  </si>
  <si>
    <t>gemiddelde Tc operationele periode (agro)</t>
  </si>
  <si>
    <t>Specifiek bij CO2 wordt uitgegaan van 95 % operationele tijd sub-kritisch en 5 % transkritisch</t>
  </si>
  <si>
    <t>onderhoudskosten</t>
  </si>
  <si>
    <t>verplichte onderhoudskosten (m.b.t. detectie, verplichte keuringen en bijbehorende updates)</t>
  </si>
  <si>
    <t>revisie (preventief onderhoud)</t>
  </si>
  <si>
    <t>oliemanagement</t>
  </si>
  <si>
    <t>vroegtijdige vervanging onderdelen</t>
  </si>
  <si>
    <t>koudemiddelverlies</t>
  </si>
  <si>
    <t>uitgangspunt is een synthetisch dx systeem zonder verlies van f-gassen</t>
  </si>
  <si>
    <t>Toelichting investeringstabel</t>
  </si>
  <si>
    <t>opties nieuw gas</t>
  </si>
  <si>
    <t>Project partners</t>
  </si>
  <si>
    <t>Introductie</t>
  </si>
  <si>
    <t>Een tool voor de koudemiddel transitie</t>
  </si>
  <si>
    <t>Doel</t>
  </si>
  <si>
    <t>Het bouwen van een beslisboom voor de koudemiddel transitie naar duurzame (verse) groenten en fruit bewaring waarmee de gebruiker zijn mogelijke keuzes om aan de regelgeving te voldoen, inzichtelijk kan krijgen op zowel technische als economische parameters.</t>
  </si>
  <si>
    <t>Achtergrond</t>
  </si>
  <si>
    <t xml:space="preserve">In verband met de richtlijn 2019/1937 en tot intrekking van verordening 517/2024, worden het verkoop en gebruikt van koudemiddelen beperkt. Deze beslisboom is er om de groeten en fruit bewaring sector te steunen in het keus maken van het koudemiddelen die zou zo veel mogelijk passen bij hen bedrijf. </t>
  </si>
  <si>
    <t>Om aan een adviesrichting te komen:</t>
  </si>
  <si>
    <t>Om het adviesrichting te zien:</t>
  </si>
  <si>
    <r>
      <t>-</t>
    </r>
    <r>
      <rPr>
        <sz val="11"/>
        <color rgb="FF000000"/>
        <rFont val="Aptos Narrow"/>
        <family val="2"/>
        <scheme val="minor"/>
      </rPr>
      <t>Ga naar “vragenlijst”</t>
    </r>
  </si>
  <si>
    <r>
      <t>-</t>
    </r>
    <r>
      <rPr>
        <sz val="11"/>
        <color rgb="FF000000"/>
        <rFont val="Aptos Narrow"/>
        <family val="2"/>
        <scheme val="minor"/>
      </rPr>
      <t>Vul alle vragen met een drop-down menu</t>
    </r>
  </si>
  <si>
    <r>
      <t>-</t>
    </r>
    <r>
      <rPr>
        <sz val="11"/>
        <color rgb="FF000000"/>
        <rFont val="Aptos Narrow"/>
        <family val="2"/>
        <scheme val="minor"/>
      </rPr>
      <t>Ga naar “Adviesrichting”</t>
    </r>
  </si>
  <si>
    <r>
      <t>-</t>
    </r>
    <r>
      <rPr>
        <sz val="11"/>
        <color rgb="FF000000"/>
        <rFont val="Aptos Narrow"/>
        <family val="2"/>
        <scheme val="minor"/>
      </rPr>
      <t>We uitnodingen u uit om het adviesrichting verder te bespreken</t>
    </r>
  </si>
  <si>
    <t xml:space="preserve">Advies voor verandering van koudemiddel voor uw installatie </t>
  </si>
  <si>
    <t>tenminste 100% van de initiële investering</t>
  </si>
  <si>
    <t>minder dan 100% van de initiële investering</t>
  </si>
  <si>
    <t>Advies: Behoud van huidige systeem met gedeeltelijke ombouw &amp; wisseling naar alternatief F-gas, gerecycled koudemiddel mogelijk tot 2030</t>
  </si>
  <si>
    <t>Advies: Gedeeltelijke ombouw. Tot 2030, alleen met gerecycled koudemiddel. Gedeeltelijke ombouw naar indirect koudedrager pompsysteem met F-gas &lt;150, let op voor PFAS reglementen</t>
  </si>
  <si>
    <t>Advies: Gedeeltelijke ombouw met natuurlijk koudemiddelen: met CO2</t>
  </si>
  <si>
    <t>Advies: Gedeeltelijke ombouw met natuurlijk koudemiddelen: zonder CO2</t>
  </si>
  <si>
    <t>Advies: Volledige vervanging naar natuurlijke middelen: DXe; met CO2</t>
  </si>
  <si>
    <t>Advies: Volledige vervanging naar natuurlijke middelen: DXe; zonder CO2</t>
  </si>
  <si>
    <t>Advies: Volledige vervanging naar natuurlijke middelen:DXc: met CO2</t>
  </si>
  <si>
    <t>Advies: Volledige vervanging naar natuurlijke middelen:DXc: zonder CO2</t>
  </si>
  <si>
    <t>Advies: Volledige vervanging naar natuurlijke middelen: DPS: met CO2</t>
  </si>
  <si>
    <t>Advies: Volledige vervanging naar natuurlijke middelen: DPS: zonder CO2</t>
  </si>
  <si>
    <t>Advies: Volledige vervanging naar natuurlijke middelen: IDPS: met CO2</t>
  </si>
  <si>
    <t>Advies: Volledige vervanging naar natuurlijke middelen: IDPS: zonder CO2</t>
  </si>
  <si>
    <t>Bestaande installatie (antwoorden op de vragen)</t>
  </si>
  <si>
    <t>Adviescode</t>
  </si>
  <si>
    <t>Advies: Behoud van huidige systeem, na 2030 gebruik maken van gerecycled koudemiddel, let op de opkomende PFAS wetgeving.</t>
  </si>
  <si>
    <t>-1-</t>
  </si>
  <si>
    <t>-2-</t>
  </si>
  <si>
    <t>verhoging: naar 25-150 kW (DXc)</t>
  </si>
  <si>
    <t>DXe (Directe expansie enkelvoudig); Vermogen &lt; 25 kWatt</t>
  </si>
  <si>
    <t>DXc (Directe expansie centraal); Vermogen  25-150 kWatt</t>
  </si>
  <si>
    <t>DPS (Direct pompsysteem); Vermogen 150-500 kWatt</t>
  </si>
  <si>
    <t>DPS (Direct pompsysteem); Vermogen &gt;500 kWatt</t>
  </si>
  <si>
    <t>5f</t>
  </si>
  <si>
    <r>
      <t>advies</t>
    </r>
    <r>
      <rPr>
        <sz val="11"/>
        <color theme="1"/>
        <rFont val="Calibri"/>
        <family val="2"/>
      </rPr>
      <t>→</t>
    </r>
  </si>
  <si>
    <r>
      <t xml:space="preserve">vraag </t>
    </r>
    <r>
      <rPr>
        <sz val="11"/>
        <color theme="1"/>
        <rFont val="Aptos Narrow"/>
        <family val="2"/>
      </rPr>
      <t>↓</t>
    </r>
  </si>
  <si>
    <t>IDPS (Indirect pompsysteem); Vermogen 150-500 kWatt</t>
  </si>
  <si>
    <t>IDPS (Indirect pompsysteem); Vermogen &gt;500 kWatt</t>
  </si>
  <si>
    <t>5g</t>
  </si>
  <si>
    <t>aanname: niet van IDPS naar DPS (als dit wel kan, moet deze aangepast worden)</t>
  </si>
  <si>
    <t>wanneer vervalt advies 6?</t>
  </si>
  <si>
    <t>nee, liever een alternatief F-gas</t>
  </si>
  <si>
    <t>direct pomp</t>
  </si>
  <si>
    <t>nee, houdt liefst hetzelfde F-gas</t>
  </si>
  <si>
    <t>8d</t>
  </si>
  <si>
    <t>kies uit de volgende aanpassings-adviezen</t>
  </si>
  <si>
    <t>8.      Wilt u een natuurlijk koudemiddel, zoals NH3, CO2 of propaan?</t>
  </si>
  <si>
    <t>10.    Seizoen meest in gebruik</t>
  </si>
  <si>
    <t>blokken met cellen, om evt. Te kleuren</t>
  </si>
  <si>
    <t>blok 1</t>
  </si>
  <si>
    <t>blok 2</t>
  </si>
  <si>
    <t>blok 3</t>
  </si>
  <si>
    <t>blok 4</t>
  </si>
  <si>
    <t>blok 5</t>
  </si>
  <si>
    <t>blok 20</t>
  </si>
  <si>
    <t>invultekst</t>
  </si>
  <si>
    <t>bewaarcel/distributie basiscapaciteit zonder specifieke eisen qua vochtverlies onder 500 kW</t>
  </si>
  <si>
    <t>bewaarcel/distributie basiscapaciteit zonder specifieke eisen qua vochtverlies over 500 kW</t>
  </si>
  <si>
    <t>blok 6a</t>
  </si>
  <si>
    <t>blok 6b</t>
  </si>
  <si>
    <t>blok 7a</t>
  </si>
  <si>
    <t>blok7b</t>
  </si>
  <si>
    <t>blok 8a</t>
  </si>
  <si>
    <t>blok 8b</t>
  </si>
  <si>
    <t>blok 9a</t>
  </si>
  <si>
    <t>blok 9b</t>
  </si>
  <si>
    <t>blok 10a</t>
  </si>
  <si>
    <t>blok 10b</t>
  </si>
  <si>
    <t>blok 10c</t>
  </si>
  <si>
    <t>blok 11a</t>
  </si>
  <si>
    <t>blok 11b</t>
  </si>
  <si>
    <t>blok 12a</t>
  </si>
  <si>
    <t>blok 12b</t>
  </si>
  <si>
    <t>blok 13a</t>
  </si>
  <si>
    <t>blok 13b</t>
  </si>
  <si>
    <t>blok 13c</t>
  </si>
  <si>
    <t>blok 14a</t>
  </si>
  <si>
    <t>blok 14b</t>
  </si>
  <si>
    <t>blok 15a</t>
  </si>
  <si>
    <t>blok 15b</t>
  </si>
  <si>
    <t>blok 16a</t>
  </si>
  <si>
    <t>blok 16b</t>
  </si>
  <si>
    <t>blok 16c</t>
  </si>
  <si>
    <t>blok 17a</t>
  </si>
  <si>
    <t>blok 17b</t>
  </si>
  <si>
    <t>blok 18a</t>
  </si>
  <si>
    <t>blok 19a</t>
  </si>
  <si>
    <t>blok 19b</t>
  </si>
  <si>
    <t>blok 19c</t>
  </si>
  <si>
    <t>Q15=</t>
  </si>
  <si>
    <t>Q17=</t>
  </si>
  <si>
    <t>Advies: Grotere investering is nodig om aan de wet te kunnen voldoen.</t>
  </si>
  <si>
    <t>Advies: Er is geen adviesrichting voor de gewenste synthetische oplossing. Het advies is ombouwen naar een natuurlijk koudemiddel. Kies hiervoor bij vraag 8 voor “ja”.</t>
  </si>
  <si>
    <t>DXe (Directe Expansie enkelvoudig); Koelvermogen &lt; 25 kW</t>
  </si>
  <si>
    <t>DXc (Directe expansie centraal); Koelvermogen  25-150 kW</t>
  </si>
  <si>
    <t>DPS (Direct pompsysteem); Koelvermogen 150-500 kW</t>
  </si>
  <si>
    <t>DPS (Direct pompsysteem); Koelvermogen &gt;500 kW</t>
  </si>
  <si>
    <t>IDPS (Indirect pompsysteem); Koelvermogen 150-500 kW</t>
  </si>
  <si>
    <t>IDPS (Indirect pompsysteem); Koelvermogen &gt;500 kW</t>
  </si>
  <si>
    <t>nee, bij voorkeur een alternatief F-gas</t>
  </si>
  <si>
    <t>nee, houdt bij voorkeur hetzelfde F-gas</t>
  </si>
  <si>
    <t>antwoorden op de vragen</t>
  </si>
  <si>
    <t>Voor meer informatie over F-gassen, kijk naar het document van Bitzer</t>
  </si>
  <si>
    <t>zie:</t>
  </si>
  <si>
    <t>over koudemiddellen: A-500-D - Refrigerants</t>
  </si>
  <si>
    <t>Voor meer informatie over natuurlijke koudemiddelen</t>
  </si>
  <si>
    <t>Natuurlijke koudemiddelen in de koeltechniek - NVKL</t>
  </si>
  <si>
    <t>goed =3</t>
  </si>
  <si>
    <t>Callout: Down Arrow 2</t>
  </si>
  <si>
    <t>H5 - H7</t>
  </si>
  <si>
    <t>F8 - F10</t>
  </si>
  <si>
    <t>G8 - G10</t>
  </si>
  <si>
    <t>H8 - H10</t>
  </si>
  <si>
    <t>P8-P10</t>
  </si>
  <si>
    <t>P11-P13</t>
  </si>
  <si>
    <t>P14-P16</t>
  </si>
  <si>
    <t>P17-P19</t>
  </si>
  <si>
    <t>E5 - E7</t>
  </si>
  <si>
    <t>E8 - E10</t>
  </si>
  <si>
    <t>G5 - G7</t>
  </si>
  <si>
    <t>I5-I7</t>
  </si>
  <si>
    <t>I8-I10</t>
  </si>
  <si>
    <t>J8 - J10</t>
  </si>
  <si>
    <t>J11 - J13</t>
  </si>
  <si>
    <t>J14 - J16</t>
  </si>
  <si>
    <t>J17 - J19</t>
  </si>
  <si>
    <t>K8-K10</t>
  </si>
  <si>
    <t>K11-K13</t>
  </si>
  <si>
    <t>K14-K16</t>
  </si>
  <si>
    <t>K17-K19</t>
  </si>
  <si>
    <t>L8 - L10</t>
  </si>
  <si>
    <t>L11 - L13</t>
  </si>
  <si>
    <t>L14 - L16</t>
  </si>
  <si>
    <t>L17 - L19</t>
  </si>
  <si>
    <t>M8-M10</t>
  </si>
  <si>
    <t>M11-M13</t>
  </si>
  <si>
    <t>M14-M16</t>
  </si>
  <si>
    <t>M17-M19</t>
  </si>
  <si>
    <t>N8 - N10</t>
  </si>
  <si>
    <t>N11 - N13</t>
  </si>
  <si>
    <t>N14 - N16</t>
  </si>
  <si>
    <t>N17 - N19</t>
  </si>
  <si>
    <t>O8-O10</t>
  </si>
  <si>
    <t>O11-O13</t>
  </si>
  <si>
    <t>O14-O16</t>
  </si>
  <si>
    <t>O17-O19</t>
  </si>
  <si>
    <t>E17-E19</t>
  </si>
  <si>
    <t>h</t>
  </si>
  <si>
    <t>i</t>
  </si>
  <si>
    <t>verhoging: van minder naar meer dan 500 kW (indirect pompsysteem (IDPS))</t>
  </si>
  <si>
    <t>verhoging: van minder naar meer dan 500 kW (direct pomp systeem (DPS))</t>
  </si>
  <si>
    <t>verhoging: van boven de 500 kW naar nog meer (direct pomp systeem (DPS))</t>
  </si>
  <si>
    <t>verhoging: van boven de 500 kW naar nog meer (indirect pompsysteem (IDPS))</t>
  </si>
  <si>
    <t>7h</t>
  </si>
  <si>
    <t>7i</t>
  </si>
  <si>
    <t>beginsysteem</t>
  </si>
  <si>
    <t>_</t>
  </si>
  <si>
    <r>
      <rPr>
        <b/>
        <u/>
        <sz val="11"/>
        <color theme="1"/>
        <rFont val="Aptos Narrow"/>
        <family val="2"/>
        <scheme val="minor"/>
      </rPr>
      <t>Disclaimer:</t>
    </r>
    <r>
      <rPr>
        <sz val="11"/>
        <color theme="1"/>
        <rFont val="Aptos Narrow"/>
        <family val="2"/>
        <scheme val="minor"/>
      </rPr>
      <t xml:space="preserve">                                                                                                                                                                                                                                                                                            In deze cel kan specifieke informatie worden opgenomen, die nadere toelichting verstrekt over bijzondere consequenties, voorwaarden, aandachtspunten van de voorgestelde aanpassingen. Vaste punten zullen zijn:</t>
    </r>
  </si>
  <si>
    <t>Het relevant informatie voor de selectie in het investeringstabel is in rose gemarkeerd.</t>
  </si>
  <si>
    <t>-  verandering van wetgeving in de toekomst
-	Altijd de resultaat verder bekijken met de specifieke behoefte van het bedrijf. Een bepaald algoritme werd gebruikt. Het is de bedoeling om het model te laten werken, maar vanuit de gekozen expertise. Er zit dus een flexibel laag omheen dat de gebruiker moet rekening meehouden.
-	Zorg in alle gevallen dat de juiste veiligheidsvoorzieningen worden getroffen.
-	Investeringstabel is gemaakt met de kennis ten tijde van het ontwikkelen van het model.
-	Er is gekozen om geen gebruik te maken van gerecycled koelmiddel, omdat verwacht wordt dat de beschikbaarheid hiervan zal afnemen en de prijs zal stijgen.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</si>
</sst>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Aptos Narrow"/>
      <family val="2"/>
      <scheme val="minor"/>
    </font>
    <font>
      <b/>
      <sz val="11"/>
      <color theme="1"/>
      <name val="Aptos Narrow"/>
      <family val="2"/>
      <scheme val="minor"/>
    </font>
    <font>
      <sz val="11"/>
      <color rgb="FFFF0000"/>
      <name val="Aptos Narrow"/>
      <family val="2"/>
      <scheme val="minor"/>
    </font>
    <font>
      <b/>
      <sz val="11"/>
      <color rgb="FF000000"/>
      <name val="Aptos Narrow"/>
      <family val="2"/>
      <scheme val="minor"/>
    </font>
    <font>
      <sz val="11"/>
      <color rgb="FF000000"/>
      <name val="Aptos Narrow"/>
      <family val="2"/>
      <scheme val="minor"/>
    </font>
    <font>
      <sz val="8"/>
      <name val="Aptos Narrow"/>
      <family val="2"/>
      <scheme val="minor"/>
    </font>
    <font>
      <sz val="11"/>
      <color theme="0" tint="-0.24994659260841701"/>
      <name val="Aptos Narrow"/>
      <family val="2"/>
      <scheme val="minor"/>
    </font>
    <font>
      <sz val="10"/>
      <color theme="1"/>
      <name val="Times New Roman"/>
      <family val="1"/>
    </font>
    <font>
      <i/>
      <sz val="8.5"/>
      <color rgb="FF000000"/>
      <name val="Verdana"/>
      <family val="2"/>
    </font>
    <font>
      <sz val="10"/>
      <color rgb="FF000000"/>
      <name val="Times New Roman"/>
      <family val="1"/>
    </font>
    <font>
      <sz val="7"/>
      <color rgb="FF000000"/>
      <name val="Times New Roman"/>
      <family val="1"/>
    </font>
    <font>
      <b/>
      <u/>
      <sz val="8.5"/>
      <color rgb="FF000000"/>
      <name val="Verdana"/>
      <family val="2"/>
    </font>
    <font>
      <i/>
      <sz val="10"/>
      <color rgb="FF000000"/>
      <name val="Times New Roman"/>
      <family val="1"/>
    </font>
    <font>
      <sz val="8.5"/>
      <color rgb="FF000000"/>
      <name val="Times New Roman"/>
      <family val="1"/>
    </font>
    <font>
      <b/>
      <sz val="18"/>
      <color theme="1"/>
      <name val="Aptos Narrow"/>
      <family val="2"/>
      <scheme val="minor"/>
    </font>
    <font>
      <sz val="8.5"/>
      <color theme="1"/>
      <name val="Verdana"/>
      <family val="2"/>
    </font>
    <font>
      <sz val="11"/>
      <color rgb="FF000000"/>
      <name val="Aptos Narrow"/>
      <family val="2"/>
    </font>
    <font>
      <b/>
      <u/>
      <sz val="11"/>
      <color rgb="FFFF0000"/>
      <name val="Aptos Narrow"/>
      <family val="2"/>
      <scheme val="minor"/>
    </font>
    <font>
      <i/>
      <sz val="11"/>
      <color rgb="FF000000"/>
      <name val="Aptos Narrow"/>
      <family val="2"/>
      <scheme val="minor"/>
    </font>
    <font>
      <vertAlign val="subscript"/>
      <sz val="11"/>
      <color theme="1"/>
      <name val="Aptos Narrow"/>
      <family val="2"/>
      <scheme val="minor"/>
    </font>
    <font>
      <sz val="8.5"/>
      <color rgb="FF000000"/>
      <name val="Verdana"/>
      <family val="2"/>
    </font>
    <font>
      <sz val="18"/>
      <color theme="1"/>
      <name val="Aptos Narrow"/>
      <family val="2"/>
      <scheme val="minor"/>
    </font>
    <font>
      <sz val="11"/>
      <name val="Aptos Narrow"/>
      <family val="2"/>
      <scheme val="minor"/>
    </font>
    <font>
      <b/>
      <sz val="11"/>
      <name val="Aptos Narrow"/>
      <family val="2"/>
      <scheme val="minor"/>
    </font>
    <font>
      <b/>
      <sz val="16"/>
      <color theme="1"/>
      <name val="Aptos Narrow"/>
      <family val="2"/>
      <scheme val="minor"/>
    </font>
    <font>
      <sz val="11"/>
      <color theme="1"/>
      <name val="Calibri"/>
      <family val="2"/>
    </font>
    <font>
      <sz val="11"/>
      <color theme="1"/>
      <name val="Aptos Narrow"/>
      <family val="2"/>
    </font>
    <font>
      <b/>
      <sz val="12"/>
      <color rgb="FFFF0000"/>
      <name val="Aptos Narrow"/>
      <family val="2"/>
      <scheme val="minor"/>
    </font>
    <font>
      <b/>
      <sz val="11"/>
      <color rgb="FFFF0000"/>
      <name val="Aptos Narrow"/>
      <family val="2"/>
      <scheme val="minor"/>
    </font>
    <font>
      <u/>
      <sz val="11"/>
      <color theme="10"/>
      <name val="Aptos Narrow"/>
      <family val="2"/>
      <scheme val="minor"/>
    </font>
    <font>
      <b/>
      <sz val="14"/>
      <color rgb="FF000000"/>
      <name val="Aptos Narrow"/>
      <family val="2"/>
      <scheme val="minor"/>
    </font>
    <font>
      <sz val="14"/>
      <color theme="1"/>
      <name val="Aptos Narrow"/>
      <family val="2"/>
      <scheme val="minor"/>
    </font>
    <font>
      <u/>
      <sz val="14"/>
      <color theme="10"/>
      <name val="Aptos Narrow"/>
      <family val="2"/>
      <scheme val="minor"/>
    </font>
    <font>
      <u/>
      <sz val="16"/>
      <color theme="0"/>
      <name val="Aptos Narrow"/>
      <family val="2"/>
      <scheme val="minor"/>
    </font>
    <font>
      <sz val="10"/>
      <color rgb="FF000000"/>
      <name val="Aptos Narrow"/>
      <family val="2"/>
      <scheme val="minor"/>
    </font>
    <font>
      <b/>
      <u/>
      <sz val="11"/>
      <color theme="1"/>
      <name val="Aptos Narrow"/>
      <family val="2"/>
      <scheme val="minor"/>
    </font>
  </fonts>
  <fills count="17">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59999389629810485"/>
        <bgColor indexed="64"/>
      </patternFill>
    </fill>
    <fill>
      <patternFill patternType="solid">
        <fgColor rgb="FF00B050"/>
        <bgColor indexed="64"/>
      </patternFill>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
      <patternFill patternType="solid">
        <fgColor theme="9"/>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3" tint="0.499984740745262"/>
        <bgColor indexed="64"/>
      </patternFill>
    </fill>
    <fill>
      <patternFill patternType="solid">
        <fgColor rgb="FFFFC7CE"/>
        <bgColor indexed="64"/>
      </patternFill>
    </fill>
    <fill>
      <patternFill patternType="solid">
        <fgColor rgb="FFFFFF99"/>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s>
  <cellStyleXfs count="2">
    <xf numFmtId="0" fontId="0" fillId="0" borderId="0"/>
    <xf numFmtId="0" fontId="29" fillId="0" borderId="0" applyNumberFormat="0" applyFill="0" applyBorder="0" applyAlignment="0" applyProtection="0"/>
  </cellStyleXfs>
  <cellXfs count="285">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right" vertical="top"/>
    </xf>
    <xf numFmtId="0" fontId="0" fillId="0" borderId="0" xfId="0" applyAlignment="1">
      <alignment horizontal="center"/>
    </xf>
    <xf numFmtId="0" fontId="0" fillId="0" borderId="0" xfId="0" applyFill="1" applyAlignment="1">
      <alignment horizontal="center"/>
    </xf>
    <xf numFmtId="0" fontId="4" fillId="0" borderId="0" xfId="0" applyFont="1" applyAlignment="1">
      <alignment horizontal="left" vertical="center" readingOrder="1"/>
    </xf>
    <xf numFmtId="0" fontId="0" fillId="0" borderId="0" xfId="0" applyFont="1" applyAlignment="1">
      <alignment horizontal="right"/>
    </xf>
    <xf numFmtId="0" fontId="0" fillId="0" borderId="0" xfId="0" applyFont="1" applyAlignment="1">
      <alignment horizontal="center"/>
    </xf>
    <xf numFmtId="0" fontId="2" fillId="0" borderId="0" xfId="0" applyFont="1"/>
    <xf numFmtId="0" fontId="6" fillId="4" borderId="0" xfId="0" applyFont="1" applyFill="1" applyAlignment="1">
      <alignment horizontal="right" vertical="top"/>
    </xf>
    <xf numFmtId="0" fontId="0" fillId="4" borderId="0" xfId="0" applyFill="1" applyAlignment="1">
      <alignment horizontal="left" vertical="top"/>
    </xf>
    <xf numFmtId="0" fontId="0" fillId="4" borderId="0" xfId="0" applyFill="1" applyAlignment="1">
      <alignment horizontal="left" vertical="top" wrapText="1"/>
    </xf>
    <xf numFmtId="0" fontId="0" fillId="4" borderId="0" xfId="0" applyFill="1" applyAlignment="1">
      <alignment horizontal="right" vertical="top"/>
    </xf>
    <xf numFmtId="0" fontId="1" fillId="5" borderId="0" xfId="0" applyFont="1" applyFill="1" applyAlignment="1">
      <alignment horizontal="center" vertical="top" wrapText="1"/>
    </xf>
    <xf numFmtId="0" fontId="0" fillId="3" borderId="0" xfId="0" applyFill="1" applyAlignment="1">
      <alignment horizontal="left" vertical="top" wrapText="1"/>
    </xf>
    <xf numFmtId="0" fontId="0" fillId="6" borderId="0" xfId="0" applyFill="1" applyAlignment="1">
      <alignment horizontal="left" vertical="top"/>
    </xf>
    <xf numFmtId="0" fontId="0" fillId="6" borderId="0" xfId="0" applyFill="1" applyAlignment="1">
      <alignment horizontal="left" vertical="top" wrapText="1"/>
    </xf>
    <xf numFmtId="0" fontId="6" fillId="6" borderId="0" xfId="0" applyFont="1" applyFill="1" applyAlignment="1">
      <alignment horizontal="right" vertical="top"/>
    </xf>
    <xf numFmtId="0" fontId="0" fillId="6" borderId="0" xfId="0" applyFill="1" applyAlignment="1">
      <alignment horizontal="right" vertical="top"/>
    </xf>
    <xf numFmtId="0" fontId="0" fillId="0" borderId="0" xfId="0" applyAlignment="1">
      <alignment wrapText="1"/>
    </xf>
    <xf numFmtId="0" fontId="0" fillId="0" borderId="0" xfId="0" applyBorder="1"/>
    <xf numFmtId="0" fontId="14" fillId="4" borderId="0" xfId="0" applyFont="1" applyFill="1" applyAlignment="1">
      <alignment horizontal="left" vertical="top"/>
    </xf>
    <xf numFmtId="0" fontId="0" fillId="0" borderId="0" xfId="0" applyAlignment="1">
      <alignment horizontal="center" wrapText="1"/>
    </xf>
    <xf numFmtId="0" fontId="0" fillId="0" borderId="0" xfId="0" applyFont="1" applyAlignment="1">
      <alignment horizontal="center" wrapText="1"/>
    </xf>
    <xf numFmtId="0" fontId="0" fillId="0" borderId="0" xfId="0" applyFill="1" applyAlignment="1">
      <alignment horizontal="center" wrapText="1"/>
    </xf>
    <xf numFmtId="0" fontId="0" fillId="0" borderId="11" xfId="0" applyBorder="1"/>
    <xf numFmtId="0" fontId="16" fillId="0" borderId="1" xfId="0" applyFont="1" applyBorder="1" applyAlignment="1">
      <alignment vertical="center"/>
    </xf>
    <xf numFmtId="0" fontId="16" fillId="0" borderId="3" xfId="0" applyFont="1" applyBorder="1" applyAlignment="1">
      <alignment vertical="center"/>
    </xf>
    <xf numFmtId="0" fontId="15" fillId="0" borderId="4" xfId="0" applyFont="1" applyBorder="1"/>
    <xf numFmtId="0" fontId="15" fillId="0" borderId="6" xfId="0" applyFont="1" applyBorder="1"/>
    <xf numFmtId="0" fontId="16" fillId="0" borderId="4" xfId="0" applyFont="1" applyBorder="1" applyAlignment="1">
      <alignment vertical="center"/>
    </xf>
    <xf numFmtId="0" fontId="16" fillId="0" borderId="6" xfId="0" applyFont="1" applyBorder="1" applyAlignment="1">
      <alignment vertical="center"/>
    </xf>
    <xf numFmtId="0" fontId="16" fillId="0" borderId="6" xfId="0" applyFont="1" applyBorder="1" applyAlignment="1">
      <alignment horizontal="right" vertical="center"/>
    </xf>
    <xf numFmtId="0" fontId="16" fillId="7" borderId="6" xfId="0" applyFont="1" applyFill="1" applyBorder="1" applyAlignment="1">
      <alignment vertical="center"/>
    </xf>
    <xf numFmtId="0" fontId="16" fillId="0" borderId="11" xfId="0" applyFont="1" applyBorder="1" applyAlignment="1">
      <alignment vertical="center"/>
    </xf>
    <xf numFmtId="0" fontId="16" fillId="0" borderId="11" xfId="0" applyFont="1" applyBorder="1" applyAlignment="1">
      <alignment horizontal="right" vertical="center"/>
    </xf>
    <xf numFmtId="0" fontId="16" fillId="7" borderId="11" xfId="0" applyFont="1" applyFill="1" applyBorder="1" applyAlignment="1">
      <alignment vertical="center"/>
    </xf>
    <xf numFmtId="0" fontId="16" fillId="0" borderId="0" xfId="0" applyFont="1" applyFill="1" applyBorder="1" applyAlignment="1">
      <alignment vertical="center"/>
    </xf>
    <xf numFmtId="0" fontId="16" fillId="0" borderId="11" xfId="0" applyFont="1" applyFill="1" applyBorder="1" applyAlignment="1">
      <alignment vertical="center"/>
    </xf>
    <xf numFmtId="0" fontId="16" fillId="0" borderId="0" xfId="0" applyFont="1" applyBorder="1" applyAlignment="1">
      <alignment vertical="center"/>
    </xf>
    <xf numFmtId="0" fontId="16" fillId="0" borderId="0" xfId="0" applyFont="1" applyBorder="1" applyAlignment="1">
      <alignment horizontal="right" vertical="center"/>
    </xf>
    <xf numFmtId="0" fontId="16" fillId="7" borderId="0" xfId="0" applyFont="1" applyFill="1" applyBorder="1" applyAlignment="1">
      <alignment vertical="center"/>
    </xf>
    <xf numFmtId="0" fontId="0" fillId="8" borderId="19" xfId="0" applyFont="1" applyFill="1" applyBorder="1" applyAlignment="1">
      <alignment vertical="top" wrapText="1"/>
    </xf>
    <xf numFmtId="9" fontId="0" fillId="8" borderId="20" xfId="0" applyNumberFormat="1" applyFont="1" applyFill="1" applyBorder="1" applyAlignment="1">
      <alignment horizontal="center" vertical="top" wrapText="1"/>
    </xf>
    <xf numFmtId="0" fontId="0" fillId="8" borderId="15" xfId="0" applyFont="1" applyFill="1" applyBorder="1" applyAlignment="1">
      <alignment horizontal="center" vertical="top"/>
    </xf>
    <xf numFmtId="0" fontId="0" fillId="8" borderId="11" xfId="0" applyFont="1" applyFill="1" applyBorder="1" applyAlignment="1">
      <alignment horizontal="center" vertical="top"/>
    </xf>
    <xf numFmtId="0" fontId="0" fillId="8" borderId="4" xfId="0" applyFont="1" applyFill="1" applyBorder="1" applyAlignment="1">
      <alignment vertical="top" wrapText="1"/>
    </xf>
    <xf numFmtId="9" fontId="0" fillId="8" borderId="5" xfId="0" applyNumberFormat="1" applyFont="1" applyFill="1" applyBorder="1" applyAlignment="1">
      <alignment horizontal="center" vertical="top" wrapText="1"/>
    </xf>
    <xf numFmtId="0" fontId="0" fillId="8" borderId="0" xfId="0" applyFill="1" applyAlignment="1">
      <alignment vertical="top" wrapText="1"/>
    </xf>
    <xf numFmtId="0" fontId="0" fillId="8" borderId="0" xfId="0" applyFill="1" applyAlignment="1">
      <alignment vertical="top"/>
    </xf>
    <xf numFmtId="0" fontId="3" fillId="8" borderId="4" xfId="0" applyFont="1" applyFill="1" applyBorder="1" applyAlignment="1">
      <alignment vertical="top" wrapText="1"/>
    </xf>
    <xf numFmtId="0" fontId="3" fillId="8" borderId="6" xfId="0" applyFont="1" applyFill="1" applyBorder="1" applyAlignment="1">
      <alignment horizontal="center" vertical="top" wrapText="1"/>
    </xf>
    <xf numFmtId="0" fontId="0" fillId="8" borderId="13" xfId="0" applyFill="1" applyBorder="1" applyAlignment="1">
      <alignment vertical="top"/>
    </xf>
    <xf numFmtId="0" fontId="4" fillId="8" borderId="11" xfId="0" applyFont="1" applyFill="1" applyBorder="1" applyAlignment="1">
      <alignment horizontal="left" vertical="top" wrapText="1"/>
    </xf>
    <xf numFmtId="0" fontId="0" fillId="8" borderId="11" xfId="0" applyFont="1" applyFill="1" applyBorder="1" applyAlignment="1">
      <alignment vertical="top" wrapText="1"/>
    </xf>
    <xf numFmtId="0" fontId="4" fillId="8" borderId="11" xfId="0" applyFont="1" applyFill="1" applyBorder="1" applyAlignment="1">
      <alignment horizontal="left" vertical="top" wrapText="1" readingOrder="1"/>
    </xf>
    <xf numFmtId="0" fontId="0" fillId="8" borderId="0" xfId="0" applyFont="1" applyFill="1" applyAlignment="1">
      <alignment vertical="top"/>
    </xf>
    <xf numFmtId="0" fontId="0" fillId="8" borderId="0" xfId="0" applyFill="1" applyAlignment="1">
      <alignment horizontal="right" vertical="top"/>
    </xf>
    <xf numFmtId="0" fontId="1" fillId="8" borderId="10" xfId="0" applyFont="1" applyFill="1" applyBorder="1" applyAlignment="1">
      <alignment vertical="top" wrapText="1"/>
    </xf>
    <xf numFmtId="0" fontId="0" fillId="8" borderId="9" xfId="0" applyFont="1" applyFill="1" applyBorder="1" applyAlignment="1">
      <alignment horizontal="center" vertical="top" wrapText="1"/>
    </xf>
    <xf numFmtId="0" fontId="1" fillId="8" borderId="10" xfId="0" applyFont="1" applyFill="1" applyBorder="1" applyAlignment="1">
      <alignment horizontal="center" vertical="top" textRotation="180"/>
    </xf>
    <xf numFmtId="0" fontId="1" fillId="8" borderId="15" xfId="0" applyFont="1" applyFill="1" applyBorder="1" applyAlignment="1">
      <alignment vertical="top"/>
    </xf>
    <xf numFmtId="0" fontId="0" fillId="8" borderId="16" xfId="0" applyFont="1" applyFill="1" applyBorder="1" applyAlignment="1">
      <alignment vertical="top" wrapText="1"/>
    </xf>
    <xf numFmtId="0" fontId="0" fillId="8" borderId="7" xfId="0" applyFont="1" applyFill="1" applyBorder="1" applyAlignment="1">
      <alignment horizontal="center" vertical="top" wrapText="1"/>
    </xf>
    <xf numFmtId="0" fontId="1" fillId="8" borderId="16" xfId="0" applyFont="1" applyFill="1" applyBorder="1" applyAlignment="1">
      <alignment vertical="top"/>
    </xf>
    <xf numFmtId="49" fontId="1" fillId="8" borderId="16" xfId="0" applyNumberFormat="1" applyFont="1" applyFill="1" applyBorder="1" applyAlignment="1">
      <alignment horizontal="center" vertical="top" wrapText="1"/>
    </xf>
    <xf numFmtId="0" fontId="1" fillId="8" borderId="16" xfId="0" applyFont="1" applyFill="1" applyBorder="1" applyAlignment="1">
      <alignment horizontal="center" vertical="top" wrapText="1"/>
    </xf>
    <xf numFmtId="0" fontId="1" fillId="8" borderId="16" xfId="0" applyFont="1" applyFill="1" applyBorder="1" applyAlignment="1">
      <alignment horizontal="center" vertical="top" textRotation="180" wrapText="1"/>
    </xf>
    <xf numFmtId="0" fontId="1" fillId="8" borderId="4" xfId="0" applyFont="1" applyFill="1" applyBorder="1" applyAlignment="1">
      <alignment horizontal="center" vertical="top" textRotation="180" wrapText="1"/>
    </xf>
    <xf numFmtId="0" fontId="1" fillId="8" borderId="17" xfId="0" applyFont="1" applyFill="1" applyBorder="1" applyAlignment="1">
      <alignment horizontal="center" vertical="top" textRotation="180" wrapText="1"/>
    </xf>
    <xf numFmtId="0" fontId="1" fillId="8" borderId="15" xfId="0" applyFont="1" applyFill="1" applyBorder="1" applyAlignment="1">
      <alignment horizontal="center" vertical="top" textRotation="180" wrapText="1"/>
    </xf>
    <xf numFmtId="0" fontId="1" fillId="8" borderId="11" xfId="0" applyFont="1" applyFill="1" applyBorder="1" applyAlignment="1">
      <alignment horizontal="center" vertical="top" textRotation="180" wrapText="1"/>
    </xf>
    <xf numFmtId="0" fontId="1" fillId="8" borderId="18" xfId="0" applyFont="1" applyFill="1" applyBorder="1" applyAlignment="1">
      <alignment horizontal="center" vertical="top" textRotation="180" wrapText="1"/>
    </xf>
    <xf numFmtId="0" fontId="1" fillId="8" borderId="9" xfId="0" applyFont="1" applyFill="1" applyBorder="1" applyAlignment="1">
      <alignment vertical="top"/>
    </xf>
    <xf numFmtId="0" fontId="1" fillId="8" borderId="10" xfId="0" applyFont="1" applyFill="1" applyBorder="1" applyAlignment="1">
      <alignment vertical="top"/>
    </xf>
    <xf numFmtId="0" fontId="1" fillId="8" borderId="7" xfId="0" applyFont="1" applyFill="1" applyBorder="1" applyAlignment="1">
      <alignment vertical="top"/>
    </xf>
    <xf numFmtId="0" fontId="1" fillId="8" borderId="5" xfId="0" applyFont="1" applyFill="1" applyBorder="1" applyAlignment="1">
      <alignment vertical="top"/>
    </xf>
    <xf numFmtId="0" fontId="1" fillId="8" borderId="4" xfId="0" applyFont="1" applyFill="1" applyBorder="1" applyAlignment="1">
      <alignment vertical="top"/>
    </xf>
    <xf numFmtId="0" fontId="20" fillId="8" borderId="11" xfId="0" applyFont="1" applyFill="1" applyBorder="1" applyAlignment="1">
      <alignment vertical="top"/>
    </xf>
    <xf numFmtId="0" fontId="7" fillId="8" borderId="11" xfId="0" applyFont="1" applyFill="1" applyBorder="1" applyAlignment="1">
      <alignment vertical="top"/>
    </xf>
    <xf numFmtId="0" fontId="4" fillId="9" borderId="4" xfId="0" applyFont="1" applyFill="1" applyBorder="1" applyAlignment="1">
      <alignment horizontal="left" vertical="top" wrapText="1"/>
    </xf>
    <xf numFmtId="0" fontId="0" fillId="9" borderId="6" xfId="0" applyFont="1" applyFill="1" applyBorder="1" applyAlignment="1">
      <alignment horizontal="left" vertical="top" wrapText="1"/>
    </xf>
    <xf numFmtId="0" fontId="4" fillId="9" borderId="6" xfId="0" applyFont="1" applyFill="1" applyBorder="1" applyAlignment="1">
      <alignment horizontal="left" vertical="top" wrapText="1"/>
    </xf>
    <xf numFmtId="0" fontId="4" fillId="9" borderId="10" xfId="0" applyFont="1" applyFill="1" applyBorder="1" applyAlignment="1">
      <alignment horizontal="left" vertical="top" wrapText="1"/>
    </xf>
    <xf numFmtId="0" fontId="4" fillId="9" borderId="1" xfId="0" applyFont="1" applyFill="1" applyBorder="1" applyAlignment="1">
      <alignment horizontal="left" vertical="top" wrapText="1"/>
    </xf>
    <xf numFmtId="0" fontId="4" fillId="10" borderId="7" xfId="0" applyFont="1" applyFill="1" applyBorder="1" applyAlignment="1">
      <alignment horizontal="left" vertical="top" wrapText="1"/>
    </xf>
    <xf numFmtId="0" fontId="4" fillId="10" borderId="8" xfId="0" applyFont="1" applyFill="1" applyBorder="1" applyAlignment="1">
      <alignment horizontal="left" vertical="top" wrapText="1"/>
    </xf>
    <xf numFmtId="0" fontId="0" fillId="10" borderId="0" xfId="0" applyFill="1" applyAlignment="1">
      <alignment vertical="top" wrapText="1"/>
    </xf>
    <xf numFmtId="0" fontId="0" fillId="10" borderId="0" xfId="0" applyFill="1" applyAlignment="1">
      <alignment vertical="top"/>
    </xf>
    <xf numFmtId="0" fontId="0" fillId="10" borderId="12" xfId="0" applyFill="1" applyBorder="1" applyAlignment="1">
      <alignment horizontal="center" vertical="top"/>
    </xf>
    <xf numFmtId="0" fontId="8" fillId="8" borderId="7" xfId="0" applyFont="1" applyFill="1" applyBorder="1" applyAlignment="1">
      <alignment vertical="top" wrapText="1"/>
    </xf>
    <xf numFmtId="0" fontId="8" fillId="8" borderId="8" xfId="0" applyFont="1" applyFill="1" applyBorder="1" applyAlignment="1">
      <alignment vertical="top" wrapText="1"/>
    </xf>
    <xf numFmtId="0" fontId="13" fillId="8" borderId="7" xfId="0" applyFont="1" applyFill="1" applyBorder="1" applyAlignment="1">
      <alignment vertical="top" wrapText="1"/>
    </xf>
    <xf numFmtId="0" fontId="13" fillId="8" borderId="8" xfId="0" applyFont="1" applyFill="1" applyBorder="1" applyAlignment="1">
      <alignment vertical="top" wrapText="1"/>
    </xf>
    <xf numFmtId="0" fontId="13" fillId="8" borderId="5" xfId="0" applyFont="1" applyFill="1" applyBorder="1" applyAlignment="1">
      <alignment vertical="top" wrapText="1"/>
    </xf>
    <xf numFmtId="0" fontId="13" fillId="8" borderId="6" xfId="0" applyFont="1" applyFill="1" applyBorder="1" applyAlignment="1">
      <alignment vertical="top" wrapText="1"/>
    </xf>
    <xf numFmtId="0" fontId="1" fillId="8" borderId="13" xfId="0" applyFont="1" applyFill="1" applyBorder="1" applyAlignment="1">
      <alignment vertical="top"/>
    </xf>
    <xf numFmtId="0" fontId="1" fillId="8" borderId="14" xfId="0" applyFont="1" applyFill="1" applyBorder="1" applyAlignment="1">
      <alignment vertical="top"/>
    </xf>
    <xf numFmtId="0" fontId="0" fillId="8" borderId="21" xfId="0" applyFont="1" applyFill="1" applyBorder="1" applyAlignment="1">
      <alignment horizontal="center" vertical="top"/>
    </xf>
    <xf numFmtId="0" fontId="0" fillId="8" borderId="15" xfId="0" applyFont="1" applyFill="1" applyBorder="1" applyAlignment="1">
      <alignment horizontal="left" vertical="top" wrapText="1"/>
    </xf>
    <xf numFmtId="0" fontId="0" fillId="8" borderId="13" xfId="0" applyFont="1" applyFill="1" applyBorder="1" applyAlignment="1">
      <alignment horizontal="center" vertical="top"/>
    </xf>
    <xf numFmtId="0" fontId="11" fillId="8" borderId="28" xfId="0" applyFont="1" applyFill="1" applyBorder="1" applyAlignment="1">
      <alignment vertical="top" wrapText="1"/>
    </xf>
    <xf numFmtId="0" fontId="7" fillId="8" borderId="21" xfId="0" applyFont="1" applyFill="1" applyBorder="1" applyAlignment="1">
      <alignment vertical="top" wrapText="1"/>
    </xf>
    <xf numFmtId="0" fontId="0" fillId="8" borderId="21" xfId="0" applyFont="1" applyFill="1" applyBorder="1" applyAlignment="1">
      <alignment vertical="top" wrapText="1"/>
    </xf>
    <xf numFmtId="0" fontId="0" fillId="8" borderId="21" xfId="0" applyFill="1" applyBorder="1" applyAlignment="1">
      <alignment vertical="top"/>
    </xf>
    <xf numFmtId="0" fontId="0" fillId="8" borderId="29" xfId="0" applyFill="1" applyBorder="1" applyAlignment="1">
      <alignment vertical="top"/>
    </xf>
    <xf numFmtId="0" fontId="22" fillId="8" borderId="18" xfId="0" applyFont="1" applyFill="1" applyBorder="1" applyAlignment="1">
      <alignment horizontal="center" vertical="top" wrapText="1"/>
    </xf>
    <xf numFmtId="0" fontId="22" fillId="8" borderId="18" xfId="0" applyFont="1" applyFill="1" applyBorder="1" applyAlignment="1">
      <alignment vertical="top" wrapText="1"/>
    </xf>
    <xf numFmtId="0" fontId="23" fillId="8" borderId="17" xfId="0" applyFont="1" applyFill="1" applyBorder="1" applyAlignment="1">
      <alignment vertical="top" wrapText="1"/>
    </xf>
    <xf numFmtId="0" fontId="22" fillId="8" borderId="18" xfId="0" applyFont="1" applyFill="1" applyBorder="1" applyAlignment="1">
      <alignment horizontal="left" vertical="top" wrapText="1"/>
    </xf>
    <xf numFmtId="0" fontId="22" fillId="8" borderId="18" xfId="0" applyFont="1" applyFill="1" applyBorder="1" applyAlignment="1">
      <alignment vertical="top"/>
    </xf>
    <xf numFmtId="0" fontId="22" fillId="8" borderId="27" xfId="0" applyFont="1" applyFill="1" applyBorder="1" applyAlignment="1">
      <alignment vertical="top"/>
    </xf>
    <xf numFmtId="0" fontId="4" fillId="0" borderId="0" xfId="0" applyFont="1" applyFill="1" applyBorder="1" applyAlignment="1">
      <alignment horizontal="left" vertical="top" wrapText="1"/>
    </xf>
    <xf numFmtId="0" fontId="4" fillId="8" borderId="0" xfId="0" applyFont="1" applyFill="1" applyBorder="1" applyAlignment="1">
      <alignment horizontal="left" vertical="top" wrapText="1"/>
    </xf>
    <xf numFmtId="49" fontId="1" fillId="8" borderId="1" xfId="0" applyNumberFormat="1" applyFont="1" applyFill="1" applyBorder="1" applyAlignment="1">
      <alignment horizontal="center" vertical="top" wrapText="1"/>
    </xf>
    <xf numFmtId="0" fontId="1" fillId="8" borderId="1" xfId="0" applyFont="1" applyFill="1" applyBorder="1" applyAlignment="1">
      <alignment horizontal="center" vertical="top" wrapText="1"/>
    </xf>
    <xf numFmtId="0" fontId="23" fillId="8" borderId="11" xfId="0" applyFont="1" applyFill="1" applyBorder="1" applyAlignment="1">
      <alignment horizontal="left" vertical="top" wrapText="1"/>
    </xf>
    <xf numFmtId="0" fontId="0" fillId="8" borderId="0" xfId="0" applyFill="1" applyAlignment="1">
      <alignment horizontal="left" vertical="top" wrapText="1"/>
    </xf>
    <xf numFmtId="0" fontId="22" fillId="0" borderId="0" xfId="0" applyFont="1" applyFill="1" applyBorder="1" applyAlignment="1">
      <alignment horizontal="left" vertical="top" wrapText="1"/>
    </xf>
    <xf numFmtId="0" fontId="0" fillId="0" borderId="0" xfId="0" quotePrefix="1" applyFont="1" applyAlignment="1">
      <alignment horizontal="right"/>
    </xf>
    <xf numFmtId="0" fontId="0" fillId="2" borderId="35" xfId="0" applyFont="1" applyFill="1" applyBorder="1" applyAlignment="1">
      <alignment horizontal="center" vertical="top"/>
    </xf>
    <xf numFmtId="0" fontId="0" fillId="12" borderId="11" xfId="0" applyFont="1" applyFill="1" applyBorder="1" applyAlignment="1">
      <alignment horizontal="center" vertical="top"/>
    </xf>
    <xf numFmtId="0" fontId="1" fillId="13" borderId="15" xfId="0" applyFont="1" applyFill="1" applyBorder="1" applyAlignment="1">
      <alignment horizontal="center" vertical="top" textRotation="180" wrapText="1"/>
    </xf>
    <xf numFmtId="0" fontId="1" fillId="13" borderId="11" xfId="0" applyFont="1" applyFill="1" applyBorder="1" applyAlignment="1">
      <alignment horizontal="center" vertical="top" textRotation="180" wrapText="1"/>
    </xf>
    <xf numFmtId="0" fontId="1" fillId="13" borderId="17" xfId="0" applyFont="1" applyFill="1" applyBorder="1" applyAlignment="1">
      <alignment horizontal="center" vertical="top" textRotation="180" wrapText="1"/>
    </xf>
    <xf numFmtId="0" fontId="1" fillId="13" borderId="18" xfId="0" applyFont="1" applyFill="1" applyBorder="1" applyAlignment="1">
      <alignment horizontal="center" vertical="top" textRotation="180" wrapText="1"/>
    </xf>
    <xf numFmtId="0" fontId="1" fillId="13" borderId="34" xfId="0" applyFont="1" applyFill="1" applyBorder="1" applyAlignment="1">
      <alignment horizontal="center" vertical="top" textRotation="180" wrapText="1"/>
    </xf>
    <xf numFmtId="0" fontId="0" fillId="13" borderId="11" xfId="0" applyFont="1" applyFill="1" applyBorder="1" applyAlignment="1">
      <alignment horizontal="center" vertical="top"/>
    </xf>
    <xf numFmtId="0" fontId="0" fillId="13" borderId="38" xfId="0" applyFont="1" applyFill="1" applyBorder="1" applyAlignment="1">
      <alignment horizontal="center" vertical="top"/>
    </xf>
    <xf numFmtId="0" fontId="0" fillId="13" borderId="40" xfId="0" applyFont="1" applyFill="1" applyBorder="1" applyAlignment="1">
      <alignment horizontal="center" vertical="top"/>
    </xf>
    <xf numFmtId="0" fontId="0" fillId="13" borderId="41" xfId="0" applyFont="1" applyFill="1" applyBorder="1" applyAlignment="1">
      <alignment horizontal="center" vertical="top"/>
    </xf>
    <xf numFmtId="0" fontId="1" fillId="0" borderId="30" xfId="0" applyFont="1" applyFill="1" applyBorder="1" applyAlignment="1">
      <alignment horizontal="center" vertical="top"/>
    </xf>
    <xf numFmtId="0" fontId="0" fillId="0" borderId="0" xfId="0" applyFill="1"/>
    <xf numFmtId="0" fontId="27" fillId="4" borderId="0" xfId="0" applyFont="1" applyFill="1" applyAlignment="1">
      <alignment horizontal="left" vertical="top"/>
    </xf>
    <xf numFmtId="0" fontId="28" fillId="4" borderId="0" xfId="0" applyFont="1" applyFill="1" applyAlignment="1">
      <alignment horizontal="left" vertical="top"/>
    </xf>
    <xf numFmtId="0" fontId="17" fillId="8" borderId="3" xfId="0" applyFont="1" applyFill="1" applyBorder="1" applyAlignment="1">
      <alignment vertical="top"/>
    </xf>
    <xf numFmtId="0" fontId="0" fillId="8" borderId="0" xfId="0" applyFill="1" applyAlignment="1">
      <alignment horizontal="center" vertical="top"/>
    </xf>
    <xf numFmtId="0" fontId="0" fillId="8" borderId="0" xfId="0" applyFill="1" applyAlignment="1">
      <alignment horizontal="left" vertical="top"/>
    </xf>
    <xf numFmtId="0" fontId="1" fillId="8" borderId="18" xfId="0" applyFont="1" applyFill="1" applyBorder="1" applyAlignment="1">
      <alignment horizontal="left" vertical="top" textRotation="180" wrapText="1"/>
    </xf>
    <xf numFmtId="0" fontId="0" fillId="8" borderId="11" xfId="0" applyFont="1" applyFill="1" applyBorder="1" applyAlignment="1">
      <alignment horizontal="left" vertical="top"/>
    </xf>
    <xf numFmtId="0" fontId="23" fillId="8" borderId="11" xfId="0" applyFont="1" applyFill="1" applyBorder="1" applyAlignment="1">
      <alignment horizontal="center" vertical="top" wrapText="1"/>
    </xf>
    <xf numFmtId="0" fontId="23" fillId="8" borderId="11" xfId="0" applyFont="1" applyFill="1" applyBorder="1" applyAlignment="1">
      <alignment vertical="top" wrapText="1"/>
    </xf>
    <xf numFmtId="0" fontId="23" fillId="8" borderId="27" xfId="0" applyFont="1" applyFill="1" applyBorder="1" applyAlignment="1">
      <alignment vertical="top"/>
    </xf>
    <xf numFmtId="0" fontId="23" fillId="8" borderId="11" xfId="0" applyFont="1" applyFill="1" applyBorder="1" applyAlignment="1">
      <alignment vertical="top"/>
    </xf>
    <xf numFmtId="0" fontId="17" fillId="8" borderId="2" xfId="0" applyFont="1" applyFill="1" applyBorder="1" applyAlignment="1">
      <alignment vertical="top" wrapText="1"/>
    </xf>
    <xf numFmtId="0" fontId="0" fillId="2" borderId="44" xfId="0" applyFont="1" applyFill="1" applyBorder="1" applyAlignment="1">
      <alignment horizontal="center" vertical="top"/>
    </xf>
    <xf numFmtId="0" fontId="1" fillId="8" borderId="16" xfId="0" applyFont="1" applyFill="1" applyBorder="1" applyAlignment="1">
      <alignment vertical="top" wrapText="1"/>
    </xf>
    <xf numFmtId="0" fontId="1" fillId="8" borderId="4" xfId="0" applyFont="1" applyFill="1" applyBorder="1" applyAlignment="1">
      <alignment vertical="top" wrapText="1"/>
    </xf>
    <xf numFmtId="0" fontId="7" fillId="8" borderId="11" xfId="0" applyFont="1" applyFill="1" applyBorder="1" applyAlignment="1">
      <alignment vertical="top" wrapText="1"/>
    </xf>
    <xf numFmtId="0" fontId="23" fillId="8" borderId="11" xfId="0" applyFont="1" applyFill="1" applyBorder="1" applyAlignment="1">
      <alignment horizontal="center" vertical="top"/>
    </xf>
    <xf numFmtId="0" fontId="0" fillId="0" borderId="11" xfId="0" applyFont="1" applyFill="1" applyBorder="1" applyAlignment="1">
      <alignment horizontal="center" vertical="top"/>
    </xf>
    <xf numFmtId="0" fontId="0" fillId="0" borderId="13" xfId="0" applyFont="1" applyFill="1" applyBorder="1" applyAlignment="1">
      <alignment horizontal="center" vertical="top"/>
    </xf>
    <xf numFmtId="0" fontId="0" fillId="8" borderId="21" xfId="0" applyFill="1" applyBorder="1" applyAlignment="1">
      <alignment horizontal="center" vertical="center"/>
    </xf>
    <xf numFmtId="0" fontId="0" fillId="8" borderId="21" xfId="0" applyFill="1" applyBorder="1" applyAlignment="1">
      <alignment horizontal="center" vertical="top"/>
    </xf>
    <xf numFmtId="0" fontId="0" fillId="14" borderId="0" xfId="0" applyFill="1"/>
    <xf numFmtId="0" fontId="0" fillId="14" borderId="0" xfId="0" applyFill="1" applyAlignment="1">
      <alignment vertical="top"/>
    </xf>
    <xf numFmtId="0" fontId="0" fillId="14" borderId="0" xfId="0" applyFill="1" applyAlignment="1">
      <alignment horizontal="left" vertical="top"/>
    </xf>
    <xf numFmtId="0" fontId="0" fillId="0" borderId="0" xfId="0" applyFont="1" applyAlignment="1">
      <alignment horizontal="right" vertical="top"/>
    </xf>
    <xf numFmtId="0" fontId="0" fillId="0" borderId="0" xfId="0" applyFont="1" applyAlignment="1">
      <alignment horizontal="left" vertical="top" wrapText="1"/>
    </xf>
    <xf numFmtId="0" fontId="0" fillId="0" borderId="0" xfId="0" applyFont="1" applyAlignment="1">
      <alignment vertical="top"/>
    </xf>
    <xf numFmtId="0" fontId="0" fillId="0" borderId="0" xfId="0" applyFont="1" applyAlignment="1">
      <alignment vertical="top" wrapText="1"/>
    </xf>
    <xf numFmtId="0" fontId="3" fillId="0" borderId="0" xfId="0" applyFont="1" applyAlignment="1">
      <alignment horizontal="right" vertical="top" readingOrder="1"/>
    </xf>
    <xf numFmtId="0" fontId="0" fillId="0" borderId="0" xfId="0" applyAlignment="1">
      <alignment horizontal="center" vertical="top"/>
    </xf>
    <xf numFmtId="0" fontId="4" fillId="0" borderId="0" xfId="0" applyFont="1" applyAlignment="1">
      <alignment horizontal="left" vertical="top" wrapText="1" readingOrder="1"/>
    </xf>
    <xf numFmtId="0" fontId="0" fillId="0" borderId="0" xfId="0" applyFont="1" applyAlignment="1">
      <alignment horizontal="center" vertical="top"/>
    </xf>
    <xf numFmtId="0" fontId="0" fillId="7" borderId="0" xfId="0" applyFont="1" applyFill="1" applyAlignment="1">
      <alignment horizontal="center" vertical="top"/>
    </xf>
    <xf numFmtId="0" fontId="22" fillId="0" borderId="0" xfId="0" applyFont="1" applyAlignment="1">
      <alignment horizontal="right" vertical="top"/>
    </xf>
    <xf numFmtId="0" fontId="22" fillId="0" borderId="0" xfId="0" applyFont="1" applyAlignment="1">
      <alignment horizontal="left" vertical="top" wrapText="1" readingOrder="1"/>
    </xf>
    <xf numFmtId="0" fontId="4" fillId="0" borderId="0" xfId="0" applyFont="1" applyAlignment="1">
      <alignment horizontal="right" vertical="top"/>
    </xf>
    <xf numFmtId="0" fontId="33" fillId="0" borderId="0" xfId="1" applyFont="1" applyFill="1" applyBorder="1" applyAlignment="1">
      <alignment horizontal="center" vertical="center"/>
    </xf>
    <xf numFmtId="0" fontId="34" fillId="0" borderId="0" xfId="0" applyFont="1" applyFill="1" applyAlignment="1">
      <alignment horizontal="left" vertical="center" wrapText="1"/>
    </xf>
    <xf numFmtId="0" fontId="30" fillId="7" borderId="9" xfId="0" applyFont="1" applyFill="1" applyBorder="1" applyAlignment="1">
      <alignment horizontal="left"/>
    </xf>
    <xf numFmtId="0" fontId="31" fillId="7" borderId="45" xfId="0" applyFont="1" applyFill="1" applyBorder="1" applyAlignment="1">
      <alignment horizontal="left" vertical="top"/>
    </xf>
    <xf numFmtId="0" fontId="0" fillId="7" borderId="42" xfId="0" applyFill="1" applyBorder="1" applyAlignment="1">
      <alignment horizontal="left" vertical="top"/>
    </xf>
    <xf numFmtId="0" fontId="31" fillId="7" borderId="7" xfId="0" applyFont="1" applyFill="1" applyBorder="1" applyAlignment="1">
      <alignment horizontal="left" vertical="top" wrapText="1"/>
    </xf>
    <xf numFmtId="0" fontId="32" fillId="7" borderId="0" xfId="1" applyFont="1" applyFill="1" applyBorder="1" applyAlignment="1">
      <alignment horizontal="left"/>
    </xf>
    <xf numFmtId="0" fontId="31" fillId="7" borderId="0" xfId="0" applyFont="1" applyFill="1" applyBorder="1" applyAlignment="1">
      <alignment horizontal="left" vertical="top"/>
    </xf>
    <xf numFmtId="0" fontId="0" fillId="7" borderId="8" xfId="0" applyFill="1" applyBorder="1" applyAlignment="1">
      <alignment horizontal="left" vertical="top"/>
    </xf>
    <xf numFmtId="0" fontId="0" fillId="7" borderId="7" xfId="0" applyFill="1" applyBorder="1" applyAlignment="1">
      <alignment horizontal="left" vertical="top" wrapText="1"/>
    </xf>
    <xf numFmtId="0" fontId="0" fillId="7" borderId="0" xfId="0" applyFill="1" applyBorder="1" applyAlignment="1">
      <alignment horizontal="left" vertical="top"/>
    </xf>
    <xf numFmtId="0" fontId="30" fillId="7" borderId="7" xfId="0" applyFont="1" applyFill="1" applyBorder="1" applyAlignment="1">
      <alignment horizontal="left"/>
    </xf>
    <xf numFmtId="0" fontId="31" fillId="7" borderId="5" xfId="0" applyFont="1" applyFill="1" applyBorder="1" applyAlignment="1">
      <alignment horizontal="left" vertical="top"/>
    </xf>
    <xf numFmtId="0" fontId="32" fillId="7" borderId="46" xfId="1" applyFont="1" applyFill="1" applyBorder="1" applyAlignment="1">
      <alignment horizontal="left"/>
    </xf>
    <xf numFmtId="0" fontId="0" fillId="7" borderId="46" xfId="0" applyFill="1" applyBorder="1" applyAlignment="1">
      <alignment horizontal="left" vertical="top"/>
    </xf>
    <xf numFmtId="0" fontId="0" fillId="7" borderId="6" xfId="0" applyFill="1" applyBorder="1" applyAlignment="1">
      <alignment horizontal="left" vertical="top"/>
    </xf>
    <xf numFmtId="0" fontId="0" fillId="6" borderId="0" xfId="0" applyFont="1" applyFill="1" applyProtection="1"/>
    <xf numFmtId="0" fontId="0" fillId="8" borderId="0" xfId="0" applyFont="1" applyFill="1" applyProtection="1"/>
    <xf numFmtId="0" fontId="21" fillId="0" borderId="10" xfId="0" applyFont="1" applyFill="1" applyBorder="1" applyProtection="1"/>
    <xf numFmtId="0" fontId="0" fillId="9" borderId="16" xfId="0" applyFont="1" applyFill="1" applyBorder="1" applyProtection="1"/>
    <xf numFmtId="0" fontId="1" fillId="9" borderId="16" xfId="0" applyFont="1" applyFill="1" applyBorder="1" applyProtection="1"/>
    <xf numFmtId="0" fontId="1" fillId="9" borderId="16" xfId="0" applyFont="1" applyFill="1" applyBorder="1" applyAlignment="1" applyProtection="1">
      <alignment wrapText="1"/>
    </xf>
    <xf numFmtId="0" fontId="4" fillId="9" borderId="16" xfId="0" applyFont="1" applyFill="1" applyBorder="1" applyAlignment="1" applyProtection="1">
      <alignment horizontal="left" vertical="center" wrapText="1" readingOrder="1"/>
    </xf>
    <xf numFmtId="0" fontId="0" fillId="9" borderId="16" xfId="0" applyFont="1" applyFill="1" applyBorder="1" applyAlignment="1" applyProtection="1">
      <alignment wrapText="1"/>
    </xf>
    <xf numFmtId="0" fontId="3" fillId="9" borderId="16" xfId="0" applyFont="1" applyFill="1" applyBorder="1" applyAlignment="1" applyProtection="1">
      <alignment horizontal="left" vertical="center" wrapText="1" readingOrder="1"/>
    </xf>
    <xf numFmtId="0" fontId="0" fillId="9" borderId="16" xfId="0" applyFont="1" applyFill="1" applyBorder="1" applyAlignment="1" applyProtection="1">
      <alignment horizontal="left" vertical="center" wrapText="1" readingOrder="1"/>
    </xf>
    <xf numFmtId="0" fontId="0" fillId="16" borderId="7" xfId="0" applyFont="1" applyFill="1" applyBorder="1" applyProtection="1"/>
    <xf numFmtId="0" fontId="21" fillId="8" borderId="16" xfId="0" applyFont="1" applyFill="1" applyBorder="1" applyProtection="1"/>
    <xf numFmtId="0" fontId="0" fillId="16" borderId="5" xfId="0" applyFont="1" applyFill="1" applyBorder="1" applyProtection="1"/>
    <xf numFmtId="0" fontId="0" fillId="8" borderId="16" xfId="0" applyFont="1" applyFill="1" applyBorder="1" applyProtection="1"/>
    <xf numFmtId="0" fontId="0" fillId="8" borderId="4" xfId="0" applyFont="1" applyFill="1" applyBorder="1" applyProtection="1"/>
    <xf numFmtId="0" fontId="0" fillId="2" borderId="0" xfId="0" applyFill="1" applyAlignment="1" applyProtection="1">
      <alignment horizontal="left" vertical="top" wrapText="1"/>
      <protection locked="0"/>
    </xf>
    <xf numFmtId="0" fontId="0" fillId="16" borderId="9" xfId="0" applyFill="1" applyBorder="1" applyAlignment="1" applyProtection="1">
      <alignment horizontal="left" vertical="top" wrapText="1"/>
    </xf>
    <xf numFmtId="0" fontId="0" fillId="16" borderId="7" xfId="0" applyFill="1" applyBorder="1" applyAlignment="1" applyProtection="1">
      <alignment horizontal="left" vertical="top" wrapText="1"/>
    </xf>
    <xf numFmtId="0" fontId="0" fillId="16" borderId="42" xfId="0" quotePrefix="1" applyFill="1" applyBorder="1" applyAlignment="1" applyProtection="1">
      <alignment horizontal="left" vertical="top" wrapText="1"/>
    </xf>
    <xf numFmtId="0" fontId="0" fillId="16" borderId="8" xfId="0" quotePrefix="1" applyFill="1" applyBorder="1" applyAlignment="1" applyProtection="1">
      <alignment horizontal="left" vertical="top" wrapText="1"/>
    </xf>
    <xf numFmtId="0" fontId="0" fillId="16" borderId="6" xfId="0" quotePrefix="1" applyFill="1" applyBorder="1" applyAlignment="1" applyProtection="1">
      <alignment horizontal="left" vertical="top" wrapText="1"/>
    </xf>
    <xf numFmtId="0" fontId="0" fillId="4" borderId="0" xfId="0" applyFill="1" applyAlignment="1">
      <alignment horizontal="left" vertical="top" wrapText="1"/>
    </xf>
    <xf numFmtId="0" fontId="3" fillId="8" borderId="0" xfId="0" applyFont="1" applyFill="1" applyBorder="1" applyAlignment="1">
      <alignment horizontal="center" vertical="top"/>
    </xf>
    <xf numFmtId="0" fontId="0" fillId="8" borderId="11" xfId="0" applyFill="1" applyBorder="1" applyAlignment="1">
      <alignment horizontal="center" vertical="top"/>
    </xf>
    <xf numFmtId="0" fontId="0" fillId="3" borderId="11" xfId="0" applyFill="1" applyBorder="1" applyAlignment="1">
      <alignment horizontal="center" vertical="top"/>
    </xf>
    <xf numFmtId="0" fontId="18" fillId="8" borderId="2" xfId="0" applyFont="1" applyFill="1" applyBorder="1" applyAlignment="1">
      <alignment horizontal="left" vertical="top" wrapText="1"/>
    </xf>
    <xf numFmtId="0" fontId="18" fillId="8" borderId="3" xfId="0" applyFont="1" applyFill="1" applyBorder="1" applyAlignment="1">
      <alignment horizontal="left" vertical="top" wrapText="1"/>
    </xf>
    <xf numFmtId="0" fontId="1" fillId="15" borderId="10"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0" fillId="8" borderId="0" xfId="0" applyFill="1" applyAlignment="1">
      <alignment horizontal="center" vertical="top" wrapText="1"/>
    </xf>
    <xf numFmtId="0" fontId="0" fillId="13" borderId="21" xfId="0" applyFont="1" applyFill="1" applyBorder="1" applyAlignment="1">
      <alignment horizontal="center" vertical="top"/>
    </xf>
    <xf numFmtId="0" fontId="0" fillId="13" borderId="22" xfId="0" applyFont="1" applyFill="1" applyBorder="1" applyAlignment="1">
      <alignment horizontal="center" vertical="top"/>
    </xf>
    <xf numFmtId="0" fontId="0" fillId="13" borderId="39" xfId="0" applyFont="1" applyFill="1" applyBorder="1" applyAlignment="1">
      <alignment horizontal="center" vertical="top"/>
    </xf>
    <xf numFmtId="0" fontId="20" fillId="8" borderId="11" xfId="0" applyFont="1" applyFill="1" applyBorder="1" applyAlignment="1">
      <alignment horizontal="left" vertical="top" wrapText="1"/>
    </xf>
    <xf numFmtId="0" fontId="24" fillId="5" borderId="12" xfId="0" applyFont="1" applyFill="1" applyBorder="1" applyAlignment="1">
      <alignment horizontal="left" vertical="top" wrapText="1"/>
    </xf>
    <xf numFmtId="0" fontId="20" fillId="8" borderId="21" xfId="0" applyFont="1" applyFill="1" applyBorder="1" applyAlignment="1">
      <alignment horizontal="left" vertical="top"/>
    </xf>
    <xf numFmtId="0" fontId="20" fillId="8" borderId="22" xfId="0" applyFont="1" applyFill="1" applyBorder="1" applyAlignment="1">
      <alignment horizontal="left" vertical="top"/>
    </xf>
    <xf numFmtId="0" fontId="20" fillId="8" borderId="18" xfId="0" applyFont="1" applyFill="1" applyBorder="1" applyAlignment="1">
      <alignment horizontal="left" vertical="top"/>
    </xf>
    <xf numFmtId="0" fontId="0" fillId="12" borderId="21" xfId="0" applyFont="1" applyFill="1" applyBorder="1" applyAlignment="1">
      <alignment horizontal="center" vertical="top"/>
    </xf>
    <xf numFmtId="0" fontId="0" fillId="12" borderId="22" xfId="0" applyFont="1" applyFill="1" applyBorder="1" applyAlignment="1">
      <alignment horizontal="center" vertical="top"/>
    </xf>
    <xf numFmtId="0" fontId="0" fillId="12" borderId="39" xfId="0" applyFont="1" applyFill="1" applyBorder="1" applyAlignment="1">
      <alignment horizontal="center" vertical="top"/>
    </xf>
    <xf numFmtId="0" fontId="0" fillId="2" borderId="23" xfId="0" applyFont="1" applyFill="1" applyBorder="1" applyAlignment="1">
      <alignment horizontal="center" vertical="top"/>
    </xf>
    <xf numFmtId="0" fontId="0" fillId="2" borderId="24" xfId="0" applyFont="1" applyFill="1" applyBorder="1" applyAlignment="1">
      <alignment horizontal="center" vertical="top"/>
    </xf>
    <xf numFmtId="0" fontId="0" fillId="2" borderId="25" xfId="0" applyFont="1" applyFill="1" applyBorder="1" applyAlignment="1">
      <alignment horizontal="center" vertical="top"/>
    </xf>
    <xf numFmtId="0" fontId="0" fillId="12" borderId="18" xfId="0" applyFont="1" applyFill="1" applyBorder="1" applyAlignment="1">
      <alignment horizontal="center" vertical="top"/>
    </xf>
    <xf numFmtId="0" fontId="0" fillId="13" borderId="18" xfId="0" applyFont="1" applyFill="1" applyBorder="1" applyAlignment="1">
      <alignment horizontal="center" vertical="top"/>
    </xf>
    <xf numFmtId="0" fontId="0" fillId="13" borderId="36" xfId="0" applyFont="1" applyFill="1" applyBorder="1" applyAlignment="1">
      <alignment horizontal="center" vertical="top"/>
    </xf>
    <xf numFmtId="0" fontId="0" fillId="13" borderId="37" xfId="0" applyFont="1" applyFill="1" applyBorder="1" applyAlignment="1">
      <alignment horizontal="center" vertical="top"/>
    </xf>
    <xf numFmtId="0" fontId="0" fillId="13" borderId="34" xfId="0" applyFont="1" applyFill="1" applyBorder="1" applyAlignment="1">
      <alignment horizontal="center" vertical="top"/>
    </xf>
    <xf numFmtId="0" fontId="1" fillId="8" borderId="9" xfId="0" applyFont="1" applyFill="1" applyBorder="1" applyAlignment="1">
      <alignment horizontal="center" vertical="top"/>
    </xf>
    <xf numFmtId="0" fontId="1" fillId="8" borderId="42" xfId="0" applyFont="1" applyFill="1" applyBorder="1" applyAlignment="1">
      <alignment horizontal="center" vertical="top"/>
    </xf>
    <xf numFmtId="0" fontId="1" fillId="8" borderId="5" xfId="0" applyFont="1" applyFill="1" applyBorder="1" applyAlignment="1">
      <alignment horizontal="center" vertical="top"/>
    </xf>
    <xf numFmtId="0" fontId="1" fillId="8" borderId="6" xfId="0" applyFont="1" applyFill="1" applyBorder="1" applyAlignment="1">
      <alignment horizontal="center" vertical="top"/>
    </xf>
    <xf numFmtId="0" fontId="1" fillId="11" borderId="31" xfId="0" applyFont="1" applyFill="1" applyBorder="1" applyAlignment="1">
      <alignment horizontal="center" vertical="top"/>
    </xf>
    <xf numFmtId="0" fontId="1" fillId="11" borderId="32" xfId="0" applyFont="1" applyFill="1" applyBorder="1" applyAlignment="1">
      <alignment horizontal="center" vertical="top"/>
    </xf>
    <xf numFmtId="0" fontId="1" fillId="11" borderId="33" xfId="0" applyFont="1" applyFill="1" applyBorder="1" applyAlignment="1">
      <alignment horizontal="center" vertical="top"/>
    </xf>
    <xf numFmtId="0" fontId="1" fillId="11" borderId="23" xfId="0" applyFont="1" applyFill="1" applyBorder="1" applyAlignment="1">
      <alignment horizontal="center" vertical="top" textRotation="180" wrapText="1"/>
    </xf>
    <xf numFmtId="0" fontId="1" fillId="11" borderId="25" xfId="0" applyFont="1" applyFill="1" applyBorder="1" applyAlignment="1">
      <alignment horizontal="center" vertical="top" textRotation="180" wrapText="1"/>
    </xf>
    <xf numFmtId="0" fontId="1" fillId="11" borderId="21" xfId="0" applyFont="1" applyFill="1" applyBorder="1" applyAlignment="1">
      <alignment horizontal="center" vertical="top" textRotation="180" wrapText="1"/>
    </xf>
    <xf numFmtId="0" fontId="1" fillId="11" borderId="18" xfId="0" applyFont="1" applyFill="1" applyBorder="1" applyAlignment="1">
      <alignment horizontal="center" vertical="top" textRotation="180" wrapText="1"/>
    </xf>
    <xf numFmtId="0" fontId="1" fillId="13" borderId="13" xfId="0" applyFont="1" applyFill="1" applyBorder="1" applyAlignment="1">
      <alignment horizontal="center" vertical="top" wrapText="1"/>
    </xf>
    <xf numFmtId="0" fontId="1" fillId="13" borderId="15" xfId="0" applyFont="1" applyFill="1" applyBorder="1" applyAlignment="1">
      <alignment horizontal="center" vertical="top" wrapText="1"/>
    </xf>
    <xf numFmtId="0" fontId="1" fillId="13" borderId="14" xfId="0" applyFont="1" applyFill="1" applyBorder="1" applyAlignment="1">
      <alignment horizontal="center" vertical="top" wrapText="1"/>
    </xf>
    <xf numFmtId="0" fontId="1" fillId="13" borderId="26" xfId="0" applyFont="1" applyFill="1" applyBorder="1" applyAlignment="1">
      <alignment horizontal="center" vertical="top" wrapText="1"/>
    </xf>
    <xf numFmtId="0" fontId="1" fillId="0" borderId="31" xfId="0" applyFont="1" applyFill="1" applyBorder="1" applyAlignment="1">
      <alignment horizontal="center" vertical="top"/>
    </xf>
    <xf numFmtId="0" fontId="1" fillId="0" borderId="43" xfId="0" applyFont="1" applyFill="1" applyBorder="1" applyAlignment="1">
      <alignment horizontal="center" vertical="top"/>
    </xf>
    <xf numFmtId="0" fontId="0" fillId="8" borderId="21" xfId="0" applyFont="1" applyFill="1" applyBorder="1" applyAlignment="1">
      <alignment horizontal="left" vertical="top"/>
    </xf>
    <xf numFmtId="0" fontId="0" fillId="8" borderId="22" xfId="0" applyFont="1" applyFill="1" applyBorder="1" applyAlignment="1">
      <alignment horizontal="left" vertical="top"/>
    </xf>
    <xf numFmtId="0" fontId="0" fillId="8" borderId="18" xfId="0" applyFont="1" applyFill="1" applyBorder="1" applyAlignment="1">
      <alignment horizontal="left" vertical="top"/>
    </xf>
    <xf numFmtId="0" fontId="0" fillId="8" borderId="21" xfId="0" applyFont="1" applyFill="1" applyBorder="1" applyAlignment="1">
      <alignment horizontal="center" vertical="top"/>
    </xf>
    <xf numFmtId="0" fontId="0" fillId="8" borderId="22" xfId="0" applyFont="1" applyFill="1" applyBorder="1" applyAlignment="1">
      <alignment horizontal="center" vertical="top"/>
    </xf>
    <xf numFmtId="0" fontId="0" fillId="8" borderId="18" xfId="0" applyFont="1" applyFill="1" applyBorder="1" applyAlignment="1">
      <alignment horizontal="center" vertical="top"/>
    </xf>
    <xf numFmtId="0" fontId="0" fillId="8" borderId="23" xfId="0" applyFont="1" applyFill="1" applyBorder="1" applyAlignment="1">
      <alignment horizontal="center" vertical="top"/>
    </xf>
    <xf numFmtId="0" fontId="0" fillId="8" borderId="24" xfId="0" applyFont="1" applyFill="1" applyBorder="1" applyAlignment="1">
      <alignment horizontal="center" vertical="top"/>
    </xf>
    <xf numFmtId="0" fontId="0" fillId="8" borderId="25" xfId="0" applyFont="1" applyFill="1" applyBorder="1" applyAlignment="1">
      <alignment horizontal="center" vertical="top"/>
    </xf>
    <xf numFmtId="0" fontId="3" fillId="8" borderId="20" xfId="0" applyFont="1" applyFill="1" applyBorder="1" applyAlignment="1">
      <alignment horizontal="center" vertical="top"/>
    </xf>
    <xf numFmtId="0" fontId="3" fillId="8" borderId="26" xfId="0" applyFont="1" applyFill="1" applyBorder="1" applyAlignment="1">
      <alignment horizontal="center" vertical="top"/>
    </xf>
    <xf numFmtId="0" fontId="17" fillId="8" borderId="2" xfId="0" applyFont="1" applyFill="1" applyBorder="1" applyAlignment="1">
      <alignment vertical="top"/>
    </xf>
    <xf numFmtId="0" fontId="17" fillId="8" borderId="3" xfId="0" applyFont="1" applyFill="1" applyBorder="1" applyAlignment="1">
      <alignment vertical="top"/>
    </xf>
    <xf numFmtId="0" fontId="18" fillId="8" borderId="2" xfId="0" applyFont="1" applyFill="1" applyBorder="1" applyAlignment="1">
      <alignment vertical="top"/>
    </xf>
    <xf numFmtId="0" fontId="18" fillId="8" borderId="3" xfId="0" applyFont="1" applyFill="1" applyBorder="1" applyAlignment="1">
      <alignment vertical="top"/>
    </xf>
    <xf numFmtId="0" fontId="0" fillId="8" borderId="13" xfId="0" applyFill="1" applyBorder="1" applyAlignment="1">
      <alignment horizontal="center" vertical="top"/>
    </xf>
    <xf numFmtId="0" fontId="0" fillId="8" borderId="14" xfId="0" applyFill="1" applyBorder="1" applyAlignment="1">
      <alignment horizontal="center" vertical="top"/>
    </xf>
    <xf numFmtId="0" fontId="0" fillId="8" borderId="15" xfId="0" applyFill="1" applyBorder="1" applyAlignment="1">
      <alignment horizontal="center" vertical="top"/>
    </xf>
    <xf numFmtId="0" fontId="1" fillId="8" borderId="0" xfId="0" applyFont="1" applyFill="1" applyAlignment="1">
      <alignment horizontal="center" vertical="top"/>
    </xf>
    <xf numFmtId="0" fontId="1" fillId="8" borderId="8" xfId="0" applyFont="1" applyFill="1" applyBorder="1" applyAlignment="1">
      <alignment horizontal="center" vertical="top"/>
    </xf>
    <xf numFmtId="0" fontId="1" fillId="8" borderId="13" xfId="0" applyFont="1" applyFill="1" applyBorder="1" applyAlignment="1">
      <alignment horizontal="center" vertical="top"/>
    </xf>
    <xf numFmtId="0" fontId="1" fillId="8" borderId="14" xfId="0" applyFont="1" applyFill="1" applyBorder="1" applyAlignment="1">
      <alignment horizontal="center" vertical="top"/>
    </xf>
    <xf numFmtId="0" fontId="1" fillId="8" borderId="15" xfId="0" applyFont="1" applyFill="1" applyBorder="1" applyAlignment="1">
      <alignment horizontal="center" vertical="top"/>
    </xf>
    <xf numFmtId="0" fontId="1" fillId="8" borderId="13" xfId="0" applyFont="1" applyFill="1" applyBorder="1" applyAlignment="1">
      <alignment horizontal="center" vertical="top" wrapText="1"/>
    </xf>
    <xf numFmtId="0" fontId="1" fillId="8" borderId="15" xfId="0" applyFont="1" applyFill="1" applyBorder="1" applyAlignment="1">
      <alignment horizontal="center" vertical="top" wrapText="1"/>
    </xf>
    <xf numFmtId="0" fontId="1" fillId="8" borderId="14" xfId="0" applyFont="1" applyFill="1" applyBorder="1" applyAlignment="1">
      <alignment horizontal="center" vertical="top" wrapText="1"/>
    </xf>
    <xf numFmtId="0" fontId="0" fillId="3" borderId="14" xfId="0" applyFill="1" applyBorder="1" applyAlignment="1">
      <alignment horizontal="center" vertical="top"/>
    </xf>
    <xf numFmtId="0" fontId="0" fillId="8" borderId="10" xfId="0" applyFont="1" applyFill="1" applyBorder="1" applyAlignment="1">
      <alignment horizontal="center" vertical="top"/>
    </xf>
    <xf numFmtId="0" fontId="0" fillId="8" borderId="16" xfId="0" applyFont="1" applyFill="1" applyBorder="1" applyAlignment="1">
      <alignment horizontal="center" vertical="top"/>
    </xf>
    <xf numFmtId="0" fontId="1" fillId="8" borderId="23" xfId="0" applyFont="1" applyFill="1" applyBorder="1" applyAlignment="1">
      <alignment horizontal="center" vertical="top" textRotation="180" wrapText="1"/>
    </xf>
    <xf numFmtId="0" fontId="1" fillId="8" borderId="25" xfId="0" applyFont="1" applyFill="1" applyBorder="1" applyAlignment="1">
      <alignment horizontal="center" vertical="top" textRotation="180" wrapText="1"/>
    </xf>
    <xf numFmtId="0" fontId="1" fillId="8" borderId="21" xfId="0" applyFont="1" applyFill="1" applyBorder="1" applyAlignment="1">
      <alignment horizontal="center" vertical="top" textRotation="180" wrapText="1"/>
    </xf>
    <xf numFmtId="0" fontId="1" fillId="8" borderId="18" xfId="0" applyFont="1" applyFill="1" applyBorder="1" applyAlignment="1">
      <alignment horizontal="center" vertical="top" textRotation="180" wrapText="1"/>
    </xf>
  </cellXfs>
  <cellStyles count="2">
    <cellStyle name="Hyperlink" xfId="1" builtinId="8"/>
    <cellStyle name="Normal" xfId="0" builtinId="0"/>
  </cellStyles>
  <dxfs count="67">
    <dxf>
      <fill>
        <patternFill>
          <bgColor rgb="FF00B0F0"/>
        </patternFill>
      </fill>
    </dxf>
    <dxf>
      <fill>
        <patternFill>
          <bgColor theme="0" tint="-0.24994659260841701"/>
        </patternFill>
      </fill>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ptos Narrow"/>
        <family val="2"/>
        <scheme val="minor"/>
      </font>
      <fill>
        <patternFill patternType="solid">
          <fgColor indexed="64"/>
          <bgColor theme="0"/>
        </patternFill>
      </fill>
      <alignment horizontal="left"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center" vertical="top"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alignment horizontal="general" vertical="top" textRotation="0" wrapText="0" indent="0" justifyLastLine="0" shrinkToFit="0" readingOrder="0"/>
      <border diagonalUp="0" diagonalDown="0" outline="0">
        <left style="thin">
          <color indexed="64"/>
        </left>
        <right style="thin">
          <color indexed="64"/>
        </right>
        <top/>
        <bottom/>
      </border>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strike val="0"/>
      </font>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strike val="0"/>
      </font>
      <fill>
        <patternFill>
          <bgColor theme="5" tint="0.79998168889431442"/>
        </patternFill>
      </fill>
    </dxf>
    <dxf>
      <font>
        <b/>
        <i val="0"/>
        <color rgb="FF0070C0"/>
      </font>
    </dxf>
    <dxf>
      <font>
        <color rgb="FFFFC7CE"/>
      </font>
      <fill>
        <patternFill>
          <bgColor rgb="FFFFC7CE"/>
        </patternFill>
      </fill>
    </dxf>
    <dxf>
      <font>
        <color rgb="FF9C0006"/>
      </font>
      <fill>
        <patternFill>
          <bgColor rgb="FFFFC7CE"/>
        </patternFill>
      </fill>
    </dxf>
    <dxf>
      <font>
        <b/>
        <i val="0"/>
        <color rgb="FF0070C0"/>
      </font>
      <fill>
        <patternFill patternType="solid">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FFC7CE"/>
      <color rgb="FF9C00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Adviesrichting!A1"/><Relationship Id="rId2" Type="http://schemas.openxmlformats.org/officeDocument/2006/relationships/image" Target="../media/image3.png"/><Relationship Id="rId1" Type="http://schemas.openxmlformats.org/officeDocument/2006/relationships/image" Target="../media/image2.emf"/><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2" Type="http://schemas.openxmlformats.org/officeDocument/2006/relationships/hyperlink" Target="#Vragenlijst!A1"/><Relationship Id="rId1" Type="http://schemas.openxmlformats.org/officeDocument/2006/relationships/hyperlink" Target="#Investeringstabel!A1"/></Relationships>
</file>

<file path=xl/drawings/_rels/drawing4.xml.rels><?xml version="1.0" encoding="UTF-8" standalone="yes"?>
<Relationships xmlns="http://schemas.openxmlformats.org/package/2006/relationships"><Relationship Id="rId1" Type="http://schemas.openxmlformats.org/officeDocument/2006/relationships/hyperlink" Target="#Adviesrichting!A1"/></Relationships>
</file>

<file path=xl/drawings/_rels/drawing6.xml.rels><?xml version="1.0" encoding="UTF-8" standalone="yes"?>
<Relationships xmlns="http://schemas.openxmlformats.org/package/2006/relationships"><Relationship Id="rId1" Type="http://schemas.openxmlformats.org/officeDocument/2006/relationships/hyperlink" Target="#Adviesrichting!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1</xdr:col>
      <xdr:colOff>889000</xdr:colOff>
      <xdr:row>21</xdr:row>
      <xdr:rowOff>95250</xdr:rowOff>
    </xdr:from>
    <xdr:to>
      <xdr:col>1</xdr:col>
      <xdr:colOff>8661400</xdr:colOff>
      <xdr:row>33</xdr:row>
      <xdr:rowOff>140970</xdr:rowOff>
    </xdr:to>
    <xdr:pic>
      <xdr:nvPicPr>
        <xdr:cNvPr id="17" name="Picture 16">
          <a:extLst>
            <a:ext uri="{FF2B5EF4-FFF2-40B4-BE49-F238E27FC236}">
              <a16:creationId xmlns:a16="http://schemas.microsoft.com/office/drawing/2014/main" id="{C6A029AE-9FDC-E6E1-D22D-C89F43E784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7167" y="4783667"/>
          <a:ext cx="7772400" cy="23317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143935</xdr:colOff>
          <xdr:row>18</xdr:row>
          <xdr:rowOff>169333</xdr:rowOff>
        </xdr:from>
        <xdr:to>
          <xdr:col>10</xdr:col>
          <xdr:colOff>0</xdr:colOff>
          <xdr:row>24</xdr:row>
          <xdr:rowOff>169867</xdr:rowOff>
        </xdr:to>
        <xdr:pic>
          <xdr:nvPicPr>
            <xdr:cNvPr id="7" name="Picture 6">
              <a:extLst>
                <a:ext uri="{FF2B5EF4-FFF2-40B4-BE49-F238E27FC236}">
                  <a16:creationId xmlns:a16="http://schemas.microsoft.com/office/drawing/2014/main" id="{54AEF1FE-1B5F-8A2E-4D9F-D41F79DB44E1}"/>
                </a:ext>
              </a:extLst>
            </xdr:cNvPr>
            <xdr:cNvPicPr>
              <a:picLocks noChangeArrowheads="1"/>
              <a:extLst>
                <a:ext uri="{84589F7E-364E-4C9E-8A38-B11213B215E9}">
                  <a14:cameraTool cellRange="dropdowns!$K$3" spid="_x0000_s2325"/>
                </a:ext>
              </a:extLst>
            </xdr:cNvPicPr>
          </xdr:nvPicPr>
          <xdr:blipFill>
            <a:blip xmlns:r="http://schemas.openxmlformats.org/officeDocument/2006/relationships" r:embed="rId1"/>
            <a:srcRect/>
            <a:stretch>
              <a:fillRect/>
            </a:stretch>
          </xdr:blipFill>
          <xdr:spPr bwMode="auto">
            <a:xfrm>
              <a:off x="9533468" y="3581400"/>
              <a:ext cx="2952000" cy="11520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7</xdr:col>
      <xdr:colOff>0</xdr:colOff>
      <xdr:row>2</xdr:row>
      <xdr:rowOff>60960</xdr:rowOff>
    </xdr:from>
    <xdr:to>
      <xdr:col>9</xdr:col>
      <xdr:colOff>198120</xdr:colOff>
      <xdr:row>4</xdr:row>
      <xdr:rowOff>22860</xdr:rowOff>
    </xdr:to>
    <xdr:sp macro="[0]!ClearData" textlink="">
      <xdr:nvSpPr>
        <xdr:cNvPr id="2" name="Rectangle: Rounded Corners 1">
          <a:extLst>
            <a:ext uri="{FF2B5EF4-FFF2-40B4-BE49-F238E27FC236}">
              <a16:creationId xmlns:a16="http://schemas.microsoft.com/office/drawing/2014/main" id="{F842725F-70F0-B2E8-DA63-639ADCCC916A}"/>
            </a:ext>
          </a:extLst>
        </xdr:cNvPr>
        <xdr:cNvSpPr/>
      </xdr:nvSpPr>
      <xdr:spPr>
        <a:xfrm>
          <a:off x="8260080" y="304800"/>
          <a:ext cx="1417320" cy="51054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600" kern="1200"/>
            <a:t>Reset</a:t>
          </a:r>
        </a:p>
      </xdr:txBody>
    </xdr:sp>
    <xdr:clientData/>
  </xdr:twoCellAnchor>
  <xdr:twoCellAnchor editAs="oneCell">
    <xdr:from>
      <xdr:col>12</xdr:col>
      <xdr:colOff>58420</xdr:colOff>
      <xdr:row>2</xdr:row>
      <xdr:rowOff>83820</xdr:rowOff>
    </xdr:from>
    <xdr:to>
      <xdr:col>17</xdr:col>
      <xdr:colOff>422620</xdr:colOff>
      <xdr:row>18</xdr:row>
      <xdr:rowOff>137347</xdr:rowOff>
    </xdr:to>
    <xdr:pic>
      <xdr:nvPicPr>
        <xdr:cNvPr id="5" name="Picture 4">
          <a:extLst>
            <a:ext uri="{FF2B5EF4-FFF2-40B4-BE49-F238E27FC236}">
              <a16:creationId xmlns:a16="http://schemas.microsoft.com/office/drawing/2014/main" id="{C5BA3C53-6176-5112-DB83-8B52DC4B1836}"/>
            </a:ext>
          </a:extLst>
        </xdr:cNvPr>
        <xdr:cNvPicPr>
          <a:picLocks noChangeAspect="1"/>
        </xdr:cNvPicPr>
      </xdr:nvPicPr>
      <xdr:blipFill>
        <a:blip xmlns:r="http://schemas.openxmlformats.org/officeDocument/2006/relationships" r:embed="rId2"/>
        <a:stretch>
          <a:fillRect/>
        </a:stretch>
      </xdr:blipFill>
      <xdr:spPr>
        <a:xfrm>
          <a:off x="12538287" y="329353"/>
          <a:ext cx="3412200" cy="322006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56694</xdr:colOff>
          <xdr:row>18</xdr:row>
          <xdr:rowOff>177799</xdr:rowOff>
        </xdr:from>
        <xdr:to>
          <xdr:col>9</xdr:col>
          <xdr:colOff>1179894</xdr:colOff>
          <xdr:row>24</xdr:row>
          <xdr:rowOff>178333</xdr:rowOff>
        </xdr:to>
        <xdr:pic>
          <xdr:nvPicPr>
            <xdr:cNvPr id="6" name="Picture 5">
              <a:hlinkClick xmlns:r="http://schemas.openxmlformats.org/officeDocument/2006/relationships" r:id="rId3"/>
              <a:extLst>
                <a:ext uri="{FF2B5EF4-FFF2-40B4-BE49-F238E27FC236}">
                  <a16:creationId xmlns:a16="http://schemas.microsoft.com/office/drawing/2014/main" id="{4A63B774-7087-66ED-2B66-AE71C57DFB73}"/>
                </a:ext>
              </a:extLst>
            </xdr:cNvPr>
            <xdr:cNvPicPr>
              <a:picLocks noChangeArrowheads="1"/>
              <a:extLst>
                <a:ext uri="{84589F7E-364E-4C9E-8A38-B11213B215E9}">
                  <a14:cameraTool cellRange="dropdowns!$M$2" spid="_x0000_s2326"/>
                </a:ext>
              </a:extLst>
            </xdr:cNvPicPr>
          </xdr:nvPicPr>
          <xdr:blipFill>
            <a:blip xmlns:r="http://schemas.openxmlformats.org/officeDocument/2006/relationships" r:embed="rId4"/>
            <a:srcRect/>
            <a:stretch>
              <a:fillRect/>
            </a:stretch>
          </xdr:blipFill>
          <xdr:spPr bwMode="auto">
            <a:xfrm>
              <a:off x="9446227" y="3589866"/>
              <a:ext cx="2952000" cy="11520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5</xdr:col>
      <xdr:colOff>1679575</xdr:colOff>
      <xdr:row>10</xdr:row>
      <xdr:rowOff>51861</xdr:rowOff>
    </xdr:from>
    <xdr:to>
      <xdr:col>12</xdr:col>
      <xdr:colOff>0</xdr:colOff>
      <xdr:row>12</xdr:row>
      <xdr:rowOff>41661</xdr:rowOff>
    </xdr:to>
    <xdr:sp macro="" textlink="">
      <xdr:nvSpPr>
        <xdr:cNvPr id="2" name="Arrow: Pentagon 1">
          <a:hlinkClick xmlns:r="http://schemas.openxmlformats.org/officeDocument/2006/relationships" r:id="rId1"/>
          <a:extLst>
            <a:ext uri="{FF2B5EF4-FFF2-40B4-BE49-F238E27FC236}">
              <a16:creationId xmlns:a16="http://schemas.microsoft.com/office/drawing/2014/main" id="{CF6914C6-9E73-6B3D-E3D0-808A981CE2F1}"/>
            </a:ext>
          </a:extLst>
        </xdr:cNvPr>
        <xdr:cNvSpPr/>
      </xdr:nvSpPr>
      <xdr:spPr>
        <a:xfrm>
          <a:off x="13371513" y="2433111"/>
          <a:ext cx="3809206" cy="394613"/>
        </a:xfrm>
        <a:prstGeom prst="homePlat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nl-NL" sz="1600" kern="1200">
              <a:solidFill>
                <a:sysClr val="windowText" lastClr="000000"/>
              </a:solidFill>
            </a:rPr>
            <a:t>Ga naar bijbehorende investeringtabel</a:t>
          </a:r>
        </a:p>
      </xdr:txBody>
    </xdr:sp>
    <xdr:clientData/>
  </xdr:twoCellAnchor>
  <xdr:twoCellAnchor>
    <xdr:from>
      <xdr:col>3</xdr:col>
      <xdr:colOff>1890183</xdr:colOff>
      <xdr:row>10</xdr:row>
      <xdr:rowOff>59266</xdr:rowOff>
    </xdr:from>
    <xdr:to>
      <xdr:col>5</xdr:col>
      <xdr:colOff>1542033</xdr:colOff>
      <xdr:row>12</xdr:row>
      <xdr:rowOff>47625</xdr:rowOff>
    </xdr:to>
    <xdr:sp macro="" textlink="">
      <xdr:nvSpPr>
        <xdr:cNvPr id="4" name="Arrow: Pentagon 3">
          <a:hlinkClick xmlns:r="http://schemas.openxmlformats.org/officeDocument/2006/relationships" r:id="rId2"/>
          <a:extLst>
            <a:ext uri="{FF2B5EF4-FFF2-40B4-BE49-F238E27FC236}">
              <a16:creationId xmlns:a16="http://schemas.microsoft.com/office/drawing/2014/main" id="{D973FE99-1C8D-2719-500B-FC16F16FACE0}"/>
            </a:ext>
          </a:extLst>
        </xdr:cNvPr>
        <xdr:cNvSpPr/>
      </xdr:nvSpPr>
      <xdr:spPr>
        <a:xfrm flipH="1">
          <a:off x="11015133" y="2383366"/>
          <a:ext cx="2376000" cy="369359"/>
        </a:xfrm>
        <a:prstGeom prst="homePlat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nl-NL" sz="1600" kern="1200">
              <a:solidFill>
                <a:sysClr val="windowText" lastClr="000000"/>
              </a:solidFill>
            </a:rPr>
            <a:t>Ga terug naar vragenlijst</a:t>
          </a:r>
          <a:r>
            <a:rPr lang="nl-NL" sz="1600" kern="1200" baseline="0">
              <a:solidFill>
                <a:sysClr val="windowText" lastClr="000000"/>
              </a:solidFill>
            </a:rPr>
            <a:t> </a:t>
          </a:r>
          <a:endParaRPr lang="nl-NL" sz="1600" kern="12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285749</xdr:colOff>
      <xdr:row>21</xdr:row>
      <xdr:rowOff>16932</xdr:rowOff>
    </xdr:from>
    <xdr:to>
      <xdr:col>16</xdr:col>
      <xdr:colOff>42333</xdr:colOff>
      <xdr:row>22</xdr:row>
      <xdr:rowOff>169331</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75428E08-15CE-46A9-9B65-A0CBE348BE36}"/>
            </a:ext>
          </a:extLst>
        </xdr:cNvPr>
        <xdr:cNvSpPr/>
      </xdr:nvSpPr>
      <xdr:spPr>
        <a:xfrm>
          <a:off x="10583332" y="6345765"/>
          <a:ext cx="2656418" cy="416983"/>
        </a:xfrm>
        <a:prstGeom prst="roundRect">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nl-NL" sz="1600" kern="1200">
              <a:solidFill>
                <a:sysClr val="windowText" lastClr="000000"/>
              </a:solidFill>
            </a:rPr>
            <a:t>Ga terug naar</a:t>
          </a:r>
          <a:r>
            <a:rPr lang="nl-NL" sz="1600" kern="1200" baseline="0">
              <a:solidFill>
                <a:sysClr val="windowText" lastClr="000000"/>
              </a:solidFill>
            </a:rPr>
            <a:t> adviezen</a:t>
          </a:r>
          <a:endParaRPr lang="nl-NL" sz="1600" kern="12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237066</xdr:colOff>
      <xdr:row>1</xdr:row>
      <xdr:rowOff>84666</xdr:rowOff>
    </xdr:from>
    <xdr:to>
      <xdr:col>12</xdr:col>
      <xdr:colOff>440266</xdr:colOff>
      <xdr:row>15</xdr:row>
      <xdr:rowOff>42333</xdr:rowOff>
    </xdr:to>
    <xdr:cxnSp macro="">
      <xdr:nvCxnSpPr>
        <xdr:cNvPr id="3" name="Straight Arrow Connector 2">
          <a:extLst>
            <a:ext uri="{FF2B5EF4-FFF2-40B4-BE49-F238E27FC236}">
              <a16:creationId xmlns:a16="http://schemas.microsoft.com/office/drawing/2014/main" id="{4812ECE0-C3EE-4912-7573-6B70E774184C}"/>
            </a:ext>
          </a:extLst>
        </xdr:cNvPr>
        <xdr:cNvCxnSpPr/>
      </xdr:nvCxnSpPr>
      <xdr:spPr>
        <a:xfrm flipV="1">
          <a:off x="9643533" y="270933"/>
          <a:ext cx="1422400" cy="25654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414866</xdr:colOff>
      <xdr:row>3</xdr:row>
      <xdr:rowOff>177800</xdr:rowOff>
    </xdr:from>
    <xdr:to>
      <xdr:col>16</xdr:col>
      <xdr:colOff>491067</xdr:colOff>
      <xdr:row>15</xdr:row>
      <xdr:rowOff>118533</xdr:rowOff>
    </xdr:to>
    <xdr:cxnSp macro="">
      <xdr:nvCxnSpPr>
        <xdr:cNvPr id="5" name="Straight Arrow Connector 4">
          <a:extLst>
            <a:ext uri="{FF2B5EF4-FFF2-40B4-BE49-F238E27FC236}">
              <a16:creationId xmlns:a16="http://schemas.microsoft.com/office/drawing/2014/main" id="{3F8B50A0-41C7-2216-A405-FCBD4E3A5C7E}"/>
            </a:ext>
          </a:extLst>
        </xdr:cNvPr>
        <xdr:cNvCxnSpPr/>
      </xdr:nvCxnSpPr>
      <xdr:spPr>
        <a:xfrm flipV="1">
          <a:off x="12259733" y="736600"/>
          <a:ext cx="821267" cy="2175933"/>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48</xdr:row>
      <xdr:rowOff>0</xdr:rowOff>
    </xdr:from>
    <xdr:to>
      <xdr:col>2</xdr:col>
      <xdr:colOff>2853267</xdr:colOff>
      <xdr:row>54</xdr:row>
      <xdr:rowOff>147320</xdr:rowOff>
    </xdr:to>
    <xdr:sp macro="" textlink="">
      <xdr:nvSpPr>
        <xdr:cNvPr id="2" name="Rectangle: Rounded Corners 1">
          <a:extLst>
            <a:ext uri="{FF2B5EF4-FFF2-40B4-BE49-F238E27FC236}">
              <a16:creationId xmlns:a16="http://schemas.microsoft.com/office/drawing/2014/main" id="{C195D782-01BC-442E-9B7F-D54C5AA21599}"/>
            </a:ext>
          </a:extLst>
        </xdr:cNvPr>
        <xdr:cNvSpPr/>
      </xdr:nvSpPr>
      <xdr:spPr>
        <a:xfrm>
          <a:off x="746760" y="8778240"/>
          <a:ext cx="2853267" cy="1244600"/>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200" kern="1200">
              <a:solidFill>
                <a:sysClr val="windowText" lastClr="000000"/>
              </a:solidFill>
            </a:rPr>
            <a:t>U kunt naar het resultaat als alle vragen zijn ingevuld, en de vragen, die eventueel roze</a:t>
          </a:r>
          <a:r>
            <a:rPr lang="nl-NL" sz="1200" kern="1200" baseline="0">
              <a:solidFill>
                <a:sysClr val="windowText" lastClr="000000"/>
              </a:solidFill>
            </a:rPr>
            <a:t> geworden zijn GEEN antwoord hebben (maak het antwoord dus leeg als het dat niet is)</a:t>
          </a:r>
          <a:endParaRPr lang="nl-NL" sz="1200" kern="1200">
            <a:solidFill>
              <a:sysClr val="windowText" lastClr="000000"/>
            </a:solidFill>
          </a:endParaRPr>
        </a:p>
      </xdr:txBody>
    </xdr:sp>
    <xdr:clientData/>
  </xdr:twoCellAnchor>
  <xdr:twoCellAnchor>
    <xdr:from>
      <xdr:col>12</xdr:col>
      <xdr:colOff>38100</xdr:colOff>
      <xdr:row>2</xdr:row>
      <xdr:rowOff>289560</xdr:rowOff>
    </xdr:from>
    <xdr:to>
      <xdr:col>12</xdr:col>
      <xdr:colOff>1661160</xdr:colOff>
      <xdr:row>2</xdr:row>
      <xdr:rowOff>996526</xdr:rowOff>
    </xdr:to>
    <xdr:sp macro="" textlink="">
      <xdr:nvSpPr>
        <xdr:cNvPr id="3" name="Callout: Down Arrow 2">
          <a:hlinkClick xmlns:r="http://schemas.openxmlformats.org/officeDocument/2006/relationships" r:id="rId1"/>
          <a:extLst>
            <a:ext uri="{FF2B5EF4-FFF2-40B4-BE49-F238E27FC236}">
              <a16:creationId xmlns:a16="http://schemas.microsoft.com/office/drawing/2014/main" id="{3D2AB4FC-4601-4B92-BED2-3D3B5260FB10}"/>
            </a:ext>
          </a:extLst>
        </xdr:cNvPr>
        <xdr:cNvSpPr/>
      </xdr:nvSpPr>
      <xdr:spPr>
        <a:xfrm>
          <a:off x="11833860" y="1242060"/>
          <a:ext cx="1623060" cy="706966"/>
        </a:xfrm>
        <a:prstGeom prst="downArrowCallout">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600" kern="1200"/>
            <a:t>Resultaat</a:t>
          </a:r>
        </a:p>
      </xdr:txBody>
    </xdr:sp>
    <xdr:clientData/>
  </xdr:twoCellAnchor>
</xdr:wsDr>
</file>

<file path=xl/persons/person.xml><?xml version="1.0" encoding="utf-8"?>
<personList xmlns="http://schemas.microsoft.com/office/spreadsheetml/2018/threadedcomments" xmlns:x="http://schemas.openxmlformats.org/spreadsheetml/2006/main">
  <person displayName="Josianne Cloutier" id="{6C8A7849-DA90-4B71-B587-A204F5456701}" userId="0d5c63d590e06a59" providerId="Windows Live"/>
  <person displayName="Frank Van de Geijn" id="{48C838ED-D1E3-4818-98C1-2ED6D207CF18}" userId="Frank Van de Geijn" providerId="None"/>
  <person displayName="Soethoudt, Han" id="{4EB9CE36-18CD-4481-8D28-21D2328F1F06}" userId="S::han.soethoudt@wur.nl::6e02a458-34e8-4cc1-bf62-0cd3fdb7b2a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A28DF58-B3CA-4A87-ABF0-F4AC8352E041}" name="Table1" displayName="Table1" ref="A18:L34" totalsRowShown="0" headerRowDxfId="18" dataDxfId="16" headerRowBorderDxfId="17" tableBorderDxfId="15" totalsRowBorderDxfId="14">
  <autoFilter ref="A18:L34" xr:uid="{CA28DF58-B3CA-4A87-ABF0-F4AC8352E041}"/>
  <tableColumns count="12">
    <tableColumn id="1" xr3:uid="{3D683F1C-6D34-42ED-BAE7-F5F9A9578CA9}" name="Adviezen" dataDxfId="13"/>
    <tableColumn id="2" xr3:uid="{AC09A1A0-AE9E-470F-96E6-C86FA6E4E0E4}" name="Voor schatting investering, onderhoud, en energiekosten: zie tabel hier onder (tabel 2)" dataDxfId="12"/>
    <tableColumn id="3" xr3:uid="{ED0A1264-1196-4386-B5F9-E767D8E7D8C9}" name="huidig systeem" dataDxfId="11">
      <calculatedColumnFormula>IF(B19="","",Vragenlijst!$D$13)</calculatedColumnFormula>
    </tableColumn>
    <tableColumn id="4" xr3:uid="{8FF4C535-733E-4285-82C7-FA4C4EA71C59}" name="nieuw systeem" dataDxfId="10"/>
    <tableColumn id="5" xr3:uid="{C69AC277-043E-4548-9A78-338AD8A0B7B7}" name="F-gas nu" dataDxfId="9">
      <calculatedColumnFormula>IF($B19="","",Vragenlijst!$D$7)</calculatedColumnFormula>
    </tableColumn>
    <tableColumn id="6" xr3:uid="{FE099B75-D115-41E9-B2CF-11F1CA504C99}" name="altern.1" dataDxfId="8"/>
    <tableColumn id="7" xr3:uid="{805214BF-A5C2-42B5-B3A0-43532B898FEB}" name="altern.2" dataDxfId="7"/>
    <tableColumn id="8" xr3:uid="{FD3E4433-20AF-4090-8EFD-58874ED723F7}" name="altern.3" dataDxfId="6"/>
    <tableColumn id="9" xr3:uid="{5FAAC7A2-20E8-4DAF-8033-B7A80B53C9B3}" name="altern.4" dataDxfId="5"/>
    <tableColumn id="10" xr3:uid="{275DC918-781E-4C44-A0B2-12642778263D}" name="propaan" dataDxfId="4"/>
    <tableColumn id="11" xr3:uid="{22EC344B-5610-49B9-83F0-A05026E7D7B4}" name="CO2" dataDxfId="3"/>
    <tableColumn id="12" xr3:uid="{8F0BDEBC-AC89-4046-B49E-F403FB8CEC5C}" name="NH3"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46" dT="2025-05-21T15:56:32.00" personId="{48C838ED-D1E3-4818-98C1-2ED6D207CF18}" id="{6721B1BF-8A4E-4187-A4E8-3EEE3495C4CE}">
    <text>Ik heb geen reden om dit per installatie type anders in te vullen; marginaal verschil in energieverbruik bij pompsystemen; schaalgrootte voordeel bij de grotere installaties</text>
  </threadedComment>
  <threadedComment ref="F46" dT="2025-05-19T07:17:20.21" personId="{6C8A7849-DA90-4B71-B587-A204F5456701}" id="{38FDB2DC-B449-4EA2-A306-A3E9EEC8A88A}">
    <text xml:space="preserve">Adriaan: 40% is aan de hoge kan. Adriaan denkt 20%. </text>
  </threadedComment>
  <threadedComment ref="F47" dT="2025-05-19T07:21:01.20" personId="{6C8A7849-DA90-4B71-B587-A204F5456701}" id="{701E0400-E1FE-4E8A-AE45-F16E948D6287}">
    <text xml:space="preserve">Adriaan: energie kan hoger zijn maar hoef niet. A2 koelmiddelen aantal variaat. 
407 -&gt; alternatief 
Adriaan gaat er naar kijken. </text>
  </threadedComment>
  <threadedComment ref="F48" dT="2025-05-21T15:44:22.40" personId="{48C838ED-D1E3-4818-98C1-2ED6D207CF18}" id="{B84AF6DA-4790-487D-9BD2-703E06F9676D}">
    <text>Relatief oude installatie; lekrisico = gemiddeld mee bijvullen, detectie en onderhoud</text>
  </threadedComment>
  <threadedComment ref="B52" dT="2025-05-21T15:33:31.45" personId="{48C838ED-D1E3-4818-98C1-2ED6D207CF18}" id="{A29431C9-ECE3-41D2-9968-3CE404CFFA38}">
    <text>Gekozen voor direct pomp vanwege referentie; uiteraard zou ook een direct expansie (meerdere centrales) gekozen kunnen worden. Indirecte systemen zouden ook bij deze capaciteit kunnen horen en als referentie gekozen kunnen worden, maar hiervan ontbreken mij voldoende kengetallen; heb hiervoor wel aparte keuze toegevoegd</text>
  </threadedComment>
  <threadedComment ref="B55" dT="2025-05-21T15:34:48.17" personId="{48C838ED-D1E3-4818-98C1-2ED6D207CF18}" id="{6E03837B-679E-4F5B-A7F3-5447122A18FB}">
    <text>Gekozen voor direct pomp vanwege referentie; Indirecte systemen zouden ook bij deze capaciteit horen en als referentie gekozen kunnen worden, maar hiervan ontbreken mij voldoende kengetallen</text>
  </threadedComment>
  <threadedComment ref="B58" dT="2025-05-21T15:34:48.17" personId="{48C838ED-D1E3-4818-98C1-2ED6D207CF18}" id="{FE6FF46F-09E7-42BC-B106-563F36FE7CBC}">
    <text>Gekozen voor direct pomp vanwege referentie; Indirecte systemen zouden ook bij deze capaciteit horen en als referentie gekozen kunnen worden, maar hiervan ontbreken mij voldoende kengetallen</text>
  </threadedComment>
  <threadedComment ref="L58" dT="2025-05-21T17:10:20.62" personId="{48C838ED-D1E3-4818-98C1-2ED6D207CF18}" id="{13015908-34A9-416C-BC32-5D2206852EDC}">
    <text xml:space="preserve">Alleen vervangen primaire deel
</text>
  </threadedComment>
  <threadedComment ref="O58" dT="2025-06-17T08:56:08.86" personId="{48C838ED-D1E3-4818-98C1-2ED6D207CF18}" id="{1B30BCD1-802A-4543-A557-AAB3BDC14060}">
    <text>Alleen vervanging van primaire deel = goedkoper!</text>
  </threadedComment>
</ThreadedComments>
</file>

<file path=xl/threadedComments/threadedComment2.xml><?xml version="1.0" encoding="utf-8"?>
<ThreadedComments xmlns="http://schemas.microsoft.com/office/spreadsheetml/2018/threadedcomments" xmlns:x="http://schemas.openxmlformats.org/spreadsheetml/2006/main">
  <threadedComment ref="J17" dT="2026-02-10T10:57:55.67" personId="{4EB9CE36-18CD-4481-8D28-21D2328F1F06}" id="{DFD7C5C5-F937-4CDB-95A5-C0AB1777F048}">
    <text>Bekijk situatie Q15=1 nog apart, want volgens begrotingstabel kun je niet van DXe naar DPS</text>
  </threadedComment>
  <threadedComment ref="K17" dT="2026-02-10T10:58:08.71" personId="{4EB9CE36-18CD-4481-8D28-21D2328F1F06}" id="{8E06CBF8-54A1-479E-8F3B-3DEB3B9AA2E0}">
    <text>Bekijk situatie Q15=1 nog apart, want volgens begrotingstabel kun je niet van DXe naar DPS</text>
  </threadedComment>
  <threadedComment ref="L17" dT="2026-02-10T14:54:04.37" personId="{4EB9CE36-18CD-4481-8D28-21D2328F1F06}" id="{AA0B1CF6-90C9-4553-90A0-DFA197C68683}">
    <text>Bekijk situatie Q15=1 nog apart, want volgens begrotingstabel kun je niet van DXe naar DPS</text>
  </threadedComment>
  <threadedComment ref="M17" dT="2026-02-10T14:54:15.99" personId="{4EB9CE36-18CD-4481-8D28-21D2328F1F06}" id="{6E2310B6-95D1-45A6-811D-D6C05C65CFAD}">
    <text>Bekijk situatie Q15=1 nog apart, want volgens begrotingstabel kun je niet van DXe naar DPS</text>
  </threadedComment>
</ThreadedComments>
</file>

<file path=xl/threadedComments/threadedComment3.xml><?xml version="1.0" encoding="utf-8"?>
<ThreadedComments xmlns="http://schemas.microsoft.com/office/spreadsheetml/2018/threadedcomments" xmlns:x="http://schemas.openxmlformats.org/spreadsheetml/2006/main">
  <threadedComment ref="D14" dT="2026-02-15T22:23:34.06" personId="{4EB9CE36-18CD-4481-8D28-21D2328F1F06}" id="{F38A7D8B-D0CD-455C-BA5E-083EEE9C0523}">
    <text>Als 2x250 kW wel mogeljk</text>
  </threadedComment>
  <threadedComment ref="D15" dT="2026-02-15T22:23:34.06" personId="{4EB9CE36-18CD-4481-8D28-21D2328F1F06}" id="{D56742BB-881A-43E4-9AE8-2D81A35308C0}">
    <text>Als 2x250 kW wel mogeljk</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nvkl.nl/natuurlijke-koudemiddelen/" TargetMode="External"/><Relationship Id="rId1" Type="http://schemas.openxmlformats.org/officeDocument/2006/relationships/hyperlink" Target="https://www.bitzer.de/shared_media/html/a-500-501/en-GB/index.html?P=/html/a-500-501/en-GB&amp;N=index.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2.vml"/><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E4459-6EEA-4E3A-B4E3-50AFCDCD0C46}">
  <sheetPr codeName="Sheet8"/>
  <dimension ref="A1:E36"/>
  <sheetViews>
    <sheetView tabSelected="1" zoomScale="90" zoomScaleNormal="90" workbookViewId="0">
      <selection activeCell="D31" sqref="D31"/>
    </sheetView>
  </sheetViews>
  <sheetFormatPr defaultColWidth="8.85546875" defaultRowHeight="15" x14ac:dyDescent="0.25"/>
  <cols>
    <col min="1" max="1" width="2.28515625" style="187" customWidth="1"/>
    <col min="2" max="2" width="150.7109375" style="187" customWidth="1"/>
    <col min="3" max="3" width="2.28515625" style="187" customWidth="1"/>
    <col min="4" max="4" width="40" style="187" customWidth="1"/>
    <col min="5" max="5" width="32.7109375" style="187" customWidth="1"/>
    <col min="6" max="16384" width="8.85546875" style="187"/>
  </cols>
  <sheetData>
    <row r="1" spans="1:5" ht="10.15" customHeight="1" thickBot="1" x14ac:dyDescent="0.3">
      <c r="A1" s="186"/>
      <c r="B1" s="186"/>
      <c r="C1" s="186"/>
    </row>
    <row r="2" spans="1:5" ht="34.9" customHeight="1" x14ac:dyDescent="0.4">
      <c r="A2" s="186"/>
      <c r="B2" s="188" t="s">
        <v>202</v>
      </c>
      <c r="C2" s="186"/>
      <c r="D2" s="202" t="s">
        <v>363</v>
      </c>
      <c r="E2" s="204" t="s">
        <v>365</v>
      </c>
    </row>
    <row r="3" spans="1:5" x14ac:dyDescent="0.25">
      <c r="A3" s="186"/>
      <c r="B3" s="189"/>
      <c r="C3" s="186"/>
      <c r="D3" s="203"/>
      <c r="E3" s="205"/>
    </row>
    <row r="4" spans="1:5" x14ac:dyDescent="0.25">
      <c r="A4" s="186"/>
      <c r="B4" s="190" t="s">
        <v>203</v>
      </c>
      <c r="C4" s="186"/>
      <c r="D4" s="203"/>
      <c r="E4" s="205"/>
    </row>
    <row r="5" spans="1:5" x14ac:dyDescent="0.25">
      <c r="A5" s="186"/>
      <c r="B5" s="189"/>
      <c r="C5" s="186"/>
      <c r="D5" s="203"/>
      <c r="E5" s="205"/>
    </row>
    <row r="6" spans="1:5" x14ac:dyDescent="0.25">
      <c r="A6" s="186"/>
      <c r="B6" s="191" t="s">
        <v>204</v>
      </c>
      <c r="C6" s="186"/>
      <c r="D6" s="203"/>
      <c r="E6" s="205"/>
    </row>
    <row r="7" spans="1:5" ht="30" x14ac:dyDescent="0.25">
      <c r="A7" s="186"/>
      <c r="B7" s="192" t="s">
        <v>205</v>
      </c>
      <c r="C7" s="186"/>
      <c r="D7" s="203"/>
      <c r="E7" s="205"/>
    </row>
    <row r="8" spans="1:5" x14ac:dyDescent="0.25">
      <c r="A8" s="186"/>
      <c r="B8" s="193"/>
      <c r="C8" s="186"/>
      <c r="D8" s="203"/>
      <c r="E8" s="205"/>
    </row>
    <row r="9" spans="1:5" x14ac:dyDescent="0.25">
      <c r="A9" s="186"/>
      <c r="B9" s="191" t="s">
        <v>206</v>
      </c>
      <c r="C9" s="186"/>
      <c r="D9" s="203"/>
      <c r="E9" s="205"/>
    </row>
    <row r="10" spans="1:5" ht="30" x14ac:dyDescent="0.25">
      <c r="A10" s="186"/>
      <c r="B10" s="192" t="s">
        <v>207</v>
      </c>
      <c r="C10" s="186"/>
      <c r="D10" s="203"/>
      <c r="E10" s="205"/>
    </row>
    <row r="11" spans="1:5" x14ac:dyDescent="0.25">
      <c r="A11" s="186"/>
      <c r="B11" s="193"/>
      <c r="C11" s="186"/>
      <c r="D11" s="203"/>
      <c r="E11" s="205"/>
    </row>
    <row r="12" spans="1:5" x14ac:dyDescent="0.25">
      <c r="A12" s="186"/>
      <c r="B12" s="194" t="s">
        <v>208</v>
      </c>
      <c r="C12" s="186"/>
      <c r="D12" s="203"/>
      <c r="E12" s="205"/>
    </row>
    <row r="13" spans="1:5" x14ac:dyDescent="0.25">
      <c r="A13" s="186"/>
      <c r="B13" s="195" t="s">
        <v>210</v>
      </c>
      <c r="C13" s="186"/>
      <c r="D13" s="203"/>
      <c r="E13" s="205"/>
    </row>
    <row r="14" spans="1:5" x14ac:dyDescent="0.25">
      <c r="A14" s="186"/>
      <c r="B14" s="195" t="s">
        <v>211</v>
      </c>
      <c r="C14" s="186"/>
      <c r="D14" s="203"/>
      <c r="E14" s="205"/>
    </row>
    <row r="15" spans="1:5" x14ac:dyDescent="0.25">
      <c r="A15" s="186"/>
      <c r="B15" s="195" t="str">
        <f>"-Vul het best passende antwoord in"</f>
        <v>-Vul het best passende antwoord in</v>
      </c>
      <c r="C15" s="186"/>
      <c r="D15" s="203"/>
      <c r="E15" s="205"/>
    </row>
    <row r="16" spans="1:5" x14ac:dyDescent="0.25">
      <c r="A16" s="186"/>
      <c r="B16" s="192" t="s">
        <v>209</v>
      </c>
      <c r="C16" s="186"/>
      <c r="D16" s="203"/>
      <c r="E16" s="205"/>
    </row>
    <row r="17" spans="1:5" x14ac:dyDescent="0.25">
      <c r="A17" s="186"/>
      <c r="B17" s="195" t="s">
        <v>212</v>
      </c>
      <c r="C17" s="186"/>
      <c r="D17" s="196"/>
      <c r="E17" s="205"/>
    </row>
    <row r="18" spans="1:5" x14ac:dyDescent="0.25">
      <c r="A18" s="186"/>
      <c r="B18" s="195" t="s">
        <v>213</v>
      </c>
      <c r="C18" s="186"/>
      <c r="D18" s="196"/>
      <c r="E18" s="205"/>
    </row>
    <row r="19" spans="1:5" x14ac:dyDescent="0.25">
      <c r="A19" s="186"/>
      <c r="B19" s="195"/>
      <c r="C19" s="186"/>
      <c r="D19" s="196"/>
      <c r="E19" s="205"/>
    </row>
    <row r="20" spans="1:5" x14ac:dyDescent="0.25">
      <c r="A20" s="186"/>
      <c r="B20" s="189"/>
      <c r="C20" s="186"/>
      <c r="D20" s="196"/>
      <c r="E20" s="205"/>
    </row>
    <row r="21" spans="1:5" ht="24.75" thickBot="1" x14ac:dyDescent="0.45">
      <c r="A21" s="186"/>
      <c r="B21" s="197" t="s">
        <v>201</v>
      </c>
      <c r="C21" s="186"/>
      <c r="D21" s="198"/>
      <c r="E21" s="206"/>
    </row>
    <row r="22" spans="1:5" x14ac:dyDescent="0.25">
      <c r="A22" s="186"/>
      <c r="B22" s="199"/>
      <c r="C22" s="186"/>
    </row>
    <row r="23" spans="1:5" x14ac:dyDescent="0.25">
      <c r="A23" s="186"/>
      <c r="B23" s="199"/>
      <c r="C23" s="186"/>
    </row>
    <row r="24" spans="1:5" x14ac:dyDescent="0.25">
      <c r="A24" s="186"/>
      <c r="B24" s="199"/>
      <c r="C24" s="186"/>
    </row>
    <row r="25" spans="1:5" x14ac:dyDescent="0.25">
      <c r="A25" s="186"/>
      <c r="B25" s="199"/>
      <c r="C25" s="186"/>
    </row>
    <row r="26" spans="1:5" x14ac:dyDescent="0.25">
      <c r="A26" s="186"/>
      <c r="B26" s="199"/>
      <c r="C26" s="186"/>
    </row>
    <row r="27" spans="1:5" x14ac:dyDescent="0.25">
      <c r="A27" s="186"/>
      <c r="B27" s="199"/>
      <c r="C27" s="186"/>
    </row>
    <row r="28" spans="1:5" x14ac:dyDescent="0.25">
      <c r="A28" s="186"/>
      <c r="B28" s="199"/>
      <c r="C28" s="186"/>
    </row>
    <row r="29" spans="1:5" x14ac:dyDescent="0.25">
      <c r="A29" s="186"/>
      <c r="B29" s="199"/>
      <c r="C29" s="186"/>
    </row>
    <row r="30" spans="1:5" x14ac:dyDescent="0.25">
      <c r="A30" s="186"/>
      <c r="B30" s="199"/>
      <c r="C30" s="186"/>
    </row>
    <row r="31" spans="1:5" x14ac:dyDescent="0.25">
      <c r="A31" s="186"/>
      <c r="B31" s="199"/>
      <c r="C31" s="186"/>
    </row>
    <row r="32" spans="1:5" x14ac:dyDescent="0.25">
      <c r="A32" s="186"/>
      <c r="B32" s="199"/>
      <c r="C32" s="186"/>
    </row>
    <row r="33" spans="1:3" x14ac:dyDescent="0.25">
      <c r="A33" s="186"/>
      <c r="B33" s="199"/>
      <c r="C33" s="186"/>
    </row>
    <row r="34" spans="1:3" x14ac:dyDescent="0.25">
      <c r="A34" s="186"/>
      <c r="B34" s="199"/>
      <c r="C34" s="186"/>
    </row>
    <row r="35" spans="1:3" ht="15.75" thickBot="1" x14ac:dyDescent="0.3">
      <c r="A35" s="186"/>
      <c r="B35" s="200"/>
      <c r="C35" s="186"/>
    </row>
    <row r="36" spans="1:3" x14ac:dyDescent="0.25">
      <c r="A36" s="186"/>
      <c r="B36" s="186"/>
      <c r="C36" s="186"/>
    </row>
  </sheetData>
  <sheetProtection algorithmName="SHA-512" hashValue="8pCOH2y/9tipniqyobphCR88gySHTEMOAk4+vOwjSXI5S8lIaCsUsxwSwR7UMDkNvlAP1HoIndL8d1SrDEu33Q==" saltValue="nsYnyhjRmxHfrT+BGtEELA==" spinCount="100000" sheet="1" objects="1" scenarios="1" selectLockedCells="1"/>
  <mergeCells count="2">
    <mergeCell ref="D2:D16"/>
    <mergeCell ref="E2:E2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BF422-D2BF-4BCE-870D-42BDA76D0EA7}">
  <sheetPr codeName="Sheet3"/>
  <dimension ref="A2:M45"/>
  <sheetViews>
    <sheetView topLeftCell="A17" workbookViewId="0">
      <selection activeCell="C27" sqref="C27:E35"/>
    </sheetView>
  </sheetViews>
  <sheetFormatPr defaultRowHeight="15" x14ac:dyDescent="0.25"/>
  <cols>
    <col min="2" max="2" width="2" bestFit="1" customWidth="1"/>
    <col min="3" max="3" width="63.5703125" bestFit="1" customWidth="1"/>
    <col min="4" max="4" width="10.42578125" customWidth="1"/>
    <col min="7" max="7" width="17.42578125" customWidth="1"/>
    <col min="11" max="11" width="31" customWidth="1"/>
    <col min="13" max="13" width="22.140625" customWidth="1"/>
  </cols>
  <sheetData>
    <row r="2" spans="1:13" ht="48" customHeight="1" x14ac:dyDescent="0.25">
      <c r="F2" s="21"/>
      <c r="G2" s="21"/>
      <c r="H2" s="21"/>
      <c r="I2" s="21"/>
      <c r="M2" s="170" t="str">
        <f>IF(Vragenlijst!K27=1,"Resultaat","")</f>
        <v/>
      </c>
    </row>
    <row r="3" spans="1:13" ht="67.5" x14ac:dyDescent="0.25">
      <c r="A3">
        <v>1</v>
      </c>
      <c r="B3" t="s">
        <v>11</v>
      </c>
      <c r="E3" t="s">
        <v>25</v>
      </c>
      <c r="F3" s="21"/>
      <c r="G3" s="21"/>
      <c r="H3" s="21"/>
      <c r="I3" s="21"/>
      <c r="K3" s="171" t="str">
        <f>IF(Vragenlijst!K27=0,"U kunt naar het resultaat als alle vragen zijn ingevuld, en de vragen, die eventueel roze geworden zijn GEEN antwoord hebben (maak het antwoord dus leeg als het dat niet is)","")</f>
        <v>U kunt naar het resultaat als alle vragen zijn ingevuld, en de vragen, die eventueel roze geworden zijn GEEN antwoord hebben (maak het antwoord dus leeg als het dat niet is)</v>
      </c>
    </row>
    <row r="4" spans="1:13" x14ac:dyDescent="0.25">
      <c r="B4" t="s">
        <v>12</v>
      </c>
      <c r="C4" t="s">
        <v>2</v>
      </c>
      <c r="E4" t="s">
        <v>32</v>
      </c>
      <c r="F4" s="21"/>
      <c r="G4" s="40" t="s">
        <v>118</v>
      </c>
      <c r="H4" s="40">
        <v>8500</v>
      </c>
      <c r="I4" s="38" t="s">
        <v>137</v>
      </c>
    </row>
    <row r="5" spans="1:13" x14ac:dyDescent="0.25">
      <c r="B5" t="s">
        <v>13</v>
      </c>
      <c r="C5" t="s">
        <v>1</v>
      </c>
      <c r="E5" t="s">
        <v>33</v>
      </c>
      <c r="F5" s="21"/>
      <c r="G5" s="40" t="s">
        <v>120</v>
      </c>
      <c r="H5" s="41" t="s">
        <v>121</v>
      </c>
      <c r="I5" s="38" t="s">
        <v>119</v>
      </c>
    </row>
    <row r="6" spans="1:13" x14ac:dyDescent="0.25">
      <c r="A6">
        <v>2</v>
      </c>
      <c r="B6" t="s">
        <v>11</v>
      </c>
      <c r="E6" t="s">
        <v>26</v>
      </c>
      <c r="F6" s="21"/>
      <c r="G6" s="40" t="s">
        <v>131</v>
      </c>
      <c r="H6" s="41">
        <v>1430</v>
      </c>
      <c r="I6" s="21"/>
    </row>
    <row r="7" spans="1:13" x14ac:dyDescent="0.25">
      <c r="B7" t="s">
        <v>12</v>
      </c>
      <c r="C7" t="s">
        <v>3</v>
      </c>
      <c r="E7" t="s">
        <v>34</v>
      </c>
      <c r="F7" s="21"/>
      <c r="G7" s="40" t="s">
        <v>125</v>
      </c>
      <c r="H7" s="40">
        <v>1810</v>
      </c>
      <c r="I7" s="21"/>
    </row>
    <row r="8" spans="1:13" x14ac:dyDescent="0.25">
      <c r="B8" t="s">
        <v>13</v>
      </c>
      <c r="C8" t="s">
        <v>4</v>
      </c>
      <c r="E8" t="s">
        <v>35</v>
      </c>
      <c r="F8" s="21"/>
      <c r="G8" s="40" t="s">
        <v>128</v>
      </c>
      <c r="H8" s="41">
        <v>3922</v>
      </c>
      <c r="I8" s="21"/>
    </row>
    <row r="9" spans="1:13" x14ac:dyDescent="0.25">
      <c r="A9">
        <v>3</v>
      </c>
      <c r="B9" t="s">
        <v>11</v>
      </c>
      <c r="E9" t="s">
        <v>27</v>
      </c>
      <c r="F9" s="21"/>
      <c r="G9" s="40" t="s">
        <v>136</v>
      </c>
      <c r="H9" s="41">
        <v>1774</v>
      </c>
      <c r="I9" s="21"/>
    </row>
    <row r="10" spans="1:13" x14ac:dyDescent="0.25">
      <c r="B10" t="s">
        <v>12</v>
      </c>
      <c r="C10" t="s">
        <v>6</v>
      </c>
      <c r="E10" t="s">
        <v>36</v>
      </c>
      <c r="F10" s="21"/>
      <c r="G10" s="40" t="s">
        <v>133</v>
      </c>
      <c r="H10" s="41">
        <v>1888</v>
      </c>
      <c r="I10" s="21"/>
    </row>
    <row r="11" spans="1:13" x14ac:dyDescent="0.25">
      <c r="B11" t="s">
        <v>13</v>
      </c>
      <c r="C11" t="s">
        <v>5</v>
      </c>
      <c r="E11" t="s">
        <v>37</v>
      </c>
      <c r="F11" s="21"/>
      <c r="G11" s="40" t="s">
        <v>135</v>
      </c>
      <c r="H11" s="41">
        <v>1396</v>
      </c>
      <c r="I11" s="21"/>
    </row>
    <row r="12" spans="1:13" x14ac:dyDescent="0.25">
      <c r="A12">
        <v>4</v>
      </c>
      <c r="B12" t="s">
        <v>11</v>
      </c>
      <c r="E12" t="s">
        <v>28</v>
      </c>
      <c r="F12" s="21"/>
      <c r="G12" s="40" t="s">
        <v>134</v>
      </c>
      <c r="H12" s="41">
        <v>1411</v>
      </c>
      <c r="I12" s="21"/>
    </row>
    <row r="13" spans="1:13" x14ac:dyDescent="0.25">
      <c r="B13" t="s">
        <v>12</v>
      </c>
      <c r="C13" s="1" t="s">
        <v>8</v>
      </c>
      <c r="D13" s="1"/>
      <c r="E13" t="s">
        <v>38</v>
      </c>
      <c r="F13" s="21"/>
      <c r="G13" s="40" t="s">
        <v>126</v>
      </c>
      <c r="H13" s="41">
        <v>465</v>
      </c>
      <c r="I13" s="21"/>
    </row>
    <row r="14" spans="1:13" ht="30" x14ac:dyDescent="0.25">
      <c r="B14" t="s">
        <v>13</v>
      </c>
      <c r="C14" s="1" t="s">
        <v>262</v>
      </c>
      <c r="D14" s="1"/>
      <c r="E14" t="s">
        <v>39</v>
      </c>
      <c r="F14" s="21"/>
      <c r="G14" s="40" t="s">
        <v>130</v>
      </c>
      <c r="H14" s="41">
        <v>3985</v>
      </c>
      <c r="I14" s="21"/>
    </row>
    <row r="15" spans="1:13" ht="30" x14ac:dyDescent="0.25">
      <c r="B15" t="s">
        <v>14</v>
      </c>
      <c r="C15" s="1" t="s">
        <v>263</v>
      </c>
      <c r="D15" s="1"/>
      <c r="E15" t="s">
        <v>40</v>
      </c>
      <c r="F15" s="21"/>
      <c r="G15" s="40" t="s">
        <v>122</v>
      </c>
      <c r="H15" s="41">
        <v>629</v>
      </c>
      <c r="I15" s="21"/>
    </row>
    <row r="16" spans="1:13" x14ac:dyDescent="0.25">
      <c r="A16">
        <v>5</v>
      </c>
      <c r="B16" t="s">
        <v>11</v>
      </c>
      <c r="E16" t="s">
        <v>29</v>
      </c>
      <c r="F16" s="21"/>
      <c r="G16" s="42" t="s">
        <v>127</v>
      </c>
      <c r="H16" s="41">
        <v>582</v>
      </c>
      <c r="I16" s="21"/>
    </row>
    <row r="17" spans="1:9" x14ac:dyDescent="0.25">
      <c r="B17" t="s">
        <v>12</v>
      </c>
      <c r="C17" s="2" t="s">
        <v>299</v>
      </c>
      <c r="D17" s="2"/>
      <c r="E17" t="s">
        <v>41</v>
      </c>
      <c r="F17" s="21"/>
      <c r="G17" s="38" t="s">
        <v>132</v>
      </c>
      <c r="H17" s="41">
        <v>629</v>
      </c>
      <c r="I17" s="21"/>
    </row>
    <row r="18" spans="1:9" x14ac:dyDescent="0.25">
      <c r="B18" t="s">
        <v>13</v>
      </c>
      <c r="C18" s="2" t="s">
        <v>300</v>
      </c>
      <c r="D18" s="2"/>
      <c r="E18" t="s">
        <v>42</v>
      </c>
      <c r="F18" s="21"/>
      <c r="G18" s="40" t="s">
        <v>123</v>
      </c>
      <c r="H18" s="41">
        <v>684</v>
      </c>
      <c r="I18" s="21"/>
    </row>
    <row r="19" spans="1:9" x14ac:dyDescent="0.25">
      <c r="B19" t="s">
        <v>14</v>
      </c>
      <c r="C19" s="2" t="s">
        <v>301</v>
      </c>
      <c r="D19" s="2"/>
      <c r="E19" t="s">
        <v>43</v>
      </c>
      <c r="F19" s="21"/>
      <c r="G19" s="40" t="s">
        <v>129</v>
      </c>
      <c r="H19" s="41">
        <v>166</v>
      </c>
      <c r="I19" s="21"/>
    </row>
    <row r="20" spans="1:9" x14ac:dyDescent="0.25">
      <c r="B20" t="s">
        <v>16</v>
      </c>
      <c r="C20" s="2" t="s">
        <v>302</v>
      </c>
      <c r="D20" s="2"/>
      <c r="E20" t="s">
        <v>44</v>
      </c>
      <c r="F20" s="21"/>
      <c r="G20" s="40" t="s">
        <v>124</v>
      </c>
      <c r="H20" s="41">
        <v>164</v>
      </c>
      <c r="I20" s="21"/>
    </row>
    <row r="21" spans="1:9" x14ac:dyDescent="0.25">
      <c r="B21" t="s">
        <v>22</v>
      </c>
      <c r="C21" s="2" t="s">
        <v>303</v>
      </c>
      <c r="D21" s="2"/>
      <c r="E21" t="s">
        <v>239</v>
      </c>
      <c r="F21" s="21"/>
      <c r="G21" s="21"/>
      <c r="H21" s="21"/>
      <c r="I21" s="21"/>
    </row>
    <row r="22" spans="1:9" x14ac:dyDescent="0.25">
      <c r="B22" t="s">
        <v>24</v>
      </c>
      <c r="C22" s="2" t="s">
        <v>304</v>
      </c>
      <c r="D22" s="2"/>
      <c r="E22" t="s">
        <v>244</v>
      </c>
      <c r="F22" s="21"/>
      <c r="G22" s="21"/>
      <c r="H22" s="21"/>
      <c r="I22" s="21"/>
    </row>
    <row r="23" spans="1:9" x14ac:dyDescent="0.25">
      <c r="A23">
        <v>6</v>
      </c>
      <c r="B23" t="s">
        <v>11</v>
      </c>
      <c r="E23" t="s">
        <v>30</v>
      </c>
      <c r="F23" s="21"/>
      <c r="G23" s="21"/>
      <c r="H23" s="21"/>
      <c r="I23" s="21"/>
    </row>
    <row r="24" spans="1:9" x14ac:dyDescent="0.25">
      <c r="B24" t="s">
        <v>12</v>
      </c>
      <c r="C24" t="s">
        <v>5</v>
      </c>
      <c r="E24" t="s">
        <v>45</v>
      </c>
      <c r="F24" s="21"/>
      <c r="G24" s="21"/>
      <c r="H24" s="21"/>
      <c r="I24" s="21"/>
    </row>
    <row r="25" spans="1:9" x14ac:dyDescent="0.25">
      <c r="B25" t="s">
        <v>13</v>
      </c>
      <c r="C25" t="s">
        <v>6</v>
      </c>
      <c r="E25" t="s">
        <v>46</v>
      </c>
    </row>
    <row r="26" spans="1:9" x14ac:dyDescent="0.25">
      <c r="A26">
        <v>7</v>
      </c>
      <c r="C26" t="s">
        <v>74</v>
      </c>
      <c r="D26" t="s">
        <v>73</v>
      </c>
    </row>
    <row r="27" spans="1:9" x14ac:dyDescent="0.25">
      <c r="A27">
        <v>7</v>
      </c>
      <c r="B27" t="s">
        <v>11</v>
      </c>
      <c r="E27" t="s">
        <v>31</v>
      </c>
    </row>
    <row r="28" spans="1:9" x14ac:dyDescent="0.25">
      <c r="B28" t="s">
        <v>12</v>
      </c>
      <c r="C28" t="s">
        <v>23</v>
      </c>
      <c r="E28" t="s">
        <v>47</v>
      </c>
    </row>
    <row r="29" spans="1:9" x14ac:dyDescent="0.25">
      <c r="B29" t="s">
        <v>13</v>
      </c>
      <c r="C29" t="s">
        <v>234</v>
      </c>
      <c r="E29" t="s">
        <v>48</v>
      </c>
    </row>
    <row r="30" spans="1:9" x14ac:dyDescent="0.25">
      <c r="B30" t="s">
        <v>14</v>
      </c>
      <c r="C30" t="s">
        <v>75</v>
      </c>
      <c r="E30" t="s">
        <v>49</v>
      </c>
    </row>
    <row r="31" spans="1:9" x14ac:dyDescent="0.25">
      <c r="B31" t="s">
        <v>16</v>
      </c>
      <c r="C31" t="s">
        <v>76</v>
      </c>
      <c r="E31" t="s">
        <v>50</v>
      </c>
    </row>
    <row r="32" spans="1:9" x14ac:dyDescent="0.25">
      <c r="B32" t="s">
        <v>22</v>
      </c>
      <c r="C32" t="s">
        <v>356</v>
      </c>
      <c r="E32" t="s">
        <v>51</v>
      </c>
    </row>
    <row r="33" spans="1:5" x14ac:dyDescent="0.25">
      <c r="B33" t="s">
        <v>24</v>
      </c>
      <c r="C33" t="s">
        <v>355</v>
      </c>
      <c r="E33" t="s">
        <v>52</v>
      </c>
    </row>
    <row r="34" spans="1:5" x14ac:dyDescent="0.25">
      <c r="B34" t="s">
        <v>353</v>
      </c>
      <c r="C34" t="s">
        <v>357</v>
      </c>
      <c r="E34" t="s">
        <v>359</v>
      </c>
    </row>
    <row r="35" spans="1:5" x14ac:dyDescent="0.25">
      <c r="B35" t="s">
        <v>354</v>
      </c>
      <c r="C35" t="s">
        <v>358</v>
      </c>
      <c r="E35" t="s">
        <v>360</v>
      </c>
    </row>
    <row r="36" spans="1:5" x14ac:dyDescent="0.25">
      <c r="A36">
        <v>8</v>
      </c>
      <c r="B36" t="s">
        <v>11</v>
      </c>
      <c r="E36" t="s">
        <v>53</v>
      </c>
    </row>
    <row r="37" spans="1:5" x14ac:dyDescent="0.25">
      <c r="B37" t="s">
        <v>12</v>
      </c>
      <c r="C37" t="s">
        <v>5</v>
      </c>
      <c r="E37" t="s">
        <v>54</v>
      </c>
    </row>
    <row r="38" spans="1:5" x14ac:dyDescent="0.25">
      <c r="B38" t="s">
        <v>13</v>
      </c>
      <c r="C38" t="s">
        <v>305</v>
      </c>
      <c r="E38" t="s">
        <v>55</v>
      </c>
    </row>
    <row r="39" spans="1:5" x14ac:dyDescent="0.25">
      <c r="B39" t="s">
        <v>14</v>
      </c>
      <c r="C39" t="s">
        <v>306</v>
      </c>
      <c r="E39" t="s">
        <v>250</v>
      </c>
    </row>
    <row r="40" spans="1:5" x14ac:dyDescent="0.25">
      <c r="A40">
        <v>9</v>
      </c>
      <c r="B40" t="s">
        <v>11</v>
      </c>
      <c r="E40" t="s">
        <v>56</v>
      </c>
    </row>
    <row r="41" spans="1:5" x14ac:dyDescent="0.25">
      <c r="B41" t="s">
        <v>12</v>
      </c>
      <c r="C41" t="s">
        <v>215</v>
      </c>
      <c r="E41" t="s">
        <v>57</v>
      </c>
    </row>
    <row r="42" spans="1:5" x14ac:dyDescent="0.25">
      <c r="B42" t="s">
        <v>13</v>
      </c>
      <c r="C42" t="s">
        <v>216</v>
      </c>
      <c r="E42" t="s">
        <v>58</v>
      </c>
    </row>
    <row r="43" spans="1:5" x14ac:dyDescent="0.25">
      <c r="A43">
        <v>10</v>
      </c>
      <c r="B43" t="s">
        <v>11</v>
      </c>
      <c r="E43" t="s">
        <v>59</v>
      </c>
    </row>
    <row r="44" spans="1:5" x14ac:dyDescent="0.25">
      <c r="B44" t="s">
        <v>12</v>
      </c>
      <c r="C44" t="s">
        <v>19</v>
      </c>
      <c r="E44" t="s">
        <v>60</v>
      </c>
    </row>
    <row r="45" spans="1:5" x14ac:dyDescent="0.25">
      <c r="B45" t="s">
        <v>13</v>
      </c>
      <c r="C45" t="s">
        <v>20</v>
      </c>
      <c r="E45" t="s">
        <v>61</v>
      </c>
    </row>
  </sheetData>
  <sortState xmlns:xlrd2="http://schemas.microsoft.com/office/spreadsheetml/2017/richdata2" ref="G4:H14">
    <sortCondition ref="G4:G14"/>
  </sortState>
  <conditionalFormatting sqref="K3">
    <cfRule type="containsText" dxfId="1" priority="2" operator="containsText" text="roze">
      <formula>NOT(ISERROR(SEARCH("roze",K3)))</formula>
    </cfRule>
    <cfRule type="colorScale" priority="3">
      <colorScale>
        <cfvo type="min"/>
        <cfvo type="max"/>
        <color rgb="FFFF7128"/>
        <color rgb="FFFFEF9C"/>
      </colorScale>
    </cfRule>
  </conditionalFormatting>
  <conditionalFormatting sqref="M2">
    <cfRule type="containsText" dxfId="0" priority="1" operator="containsText" text="resultaat">
      <formula>NOT(ISERROR(SEARCH("resultaat",M2)))</formula>
    </cfRule>
  </conditionalFormatting>
  <hyperlinks>
    <hyperlink ref="M2" location="Adviesrichting!A1" display="Adviesrichting!A1" xr:uid="{93F477C9-B037-4769-BFA9-6CF550907C03}"/>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575CF-472D-479E-A73E-2B10EE542702}">
  <dimension ref="A1:E23"/>
  <sheetViews>
    <sheetView topLeftCell="A11" workbookViewId="0">
      <selection activeCell="A23" sqref="A23"/>
    </sheetView>
  </sheetViews>
  <sheetFormatPr defaultRowHeight="15" x14ac:dyDescent="0.25"/>
  <cols>
    <col min="1" max="1" width="48.5703125" bestFit="1" customWidth="1"/>
    <col min="4" max="5" width="62.140625" bestFit="1" customWidth="1"/>
  </cols>
  <sheetData>
    <row r="1" spans="1:5" x14ac:dyDescent="0.25">
      <c r="B1" t="s">
        <v>361</v>
      </c>
    </row>
    <row r="2" spans="1:5" x14ac:dyDescent="0.25">
      <c r="B2" t="s">
        <v>29</v>
      </c>
      <c r="D2" t="s">
        <v>41</v>
      </c>
      <c r="E2" t="s">
        <v>42</v>
      </c>
    </row>
    <row r="3" spans="1:5" x14ac:dyDescent="0.25">
      <c r="A3" s="2" t="s">
        <v>299</v>
      </c>
      <c r="B3" t="s">
        <v>41</v>
      </c>
    </row>
    <row r="4" spans="1:5" x14ac:dyDescent="0.25">
      <c r="A4" s="2" t="s">
        <v>300</v>
      </c>
      <c r="B4" t="s">
        <v>42</v>
      </c>
      <c r="D4" t="s">
        <v>23</v>
      </c>
      <c r="E4" t="s">
        <v>23</v>
      </c>
    </row>
    <row r="5" spans="1:5" x14ac:dyDescent="0.25">
      <c r="A5" s="2" t="s">
        <v>301</v>
      </c>
      <c r="B5" t="s">
        <v>43</v>
      </c>
      <c r="D5" t="s">
        <v>234</v>
      </c>
      <c r="E5" t="s">
        <v>75</v>
      </c>
    </row>
    <row r="6" spans="1:5" x14ac:dyDescent="0.25">
      <c r="A6" s="2" t="s">
        <v>302</v>
      </c>
      <c r="B6" t="s">
        <v>44</v>
      </c>
      <c r="E6" t="s">
        <v>76</v>
      </c>
    </row>
    <row r="7" spans="1:5" x14ac:dyDescent="0.25">
      <c r="A7" s="2" t="s">
        <v>303</v>
      </c>
      <c r="B7" t="s">
        <v>239</v>
      </c>
      <c r="E7" t="s">
        <v>356</v>
      </c>
    </row>
    <row r="8" spans="1:5" x14ac:dyDescent="0.25">
      <c r="A8" s="2" t="s">
        <v>304</v>
      </c>
      <c r="B8" t="s">
        <v>244</v>
      </c>
      <c r="E8" t="s">
        <v>355</v>
      </c>
    </row>
    <row r="11" spans="1:5" x14ac:dyDescent="0.25">
      <c r="B11" t="s">
        <v>31</v>
      </c>
    </row>
    <row r="12" spans="1:5" x14ac:dyDescent="0.25">
      <c r="A12" t="s">
        <v>23</v>
      </c>
      <c r="B12" t="s">
        <v>47</v>
      </c>
      <c r="D12" t="s">
        <v>43</v>
      </c>
      <c r="E12" t="s">
        <v>44</v>
      </c>
    </row>
    <row r="13" spans="1:5" x14ac:dyDescent="0.25">
      <c r="A13" t="s">
        <v>234</v>
      </c>
      <c r="B13" t="s">
        <v>48</v>
      </c>
    </row>
    <row r="14" spans="1:5" x14ac:dyDescent="0.25">
      <c r="A14" t="s">
        <v>75</v>
      </c>
      <c r="B14" t="s">
        <v>49</v>
      </c>
      <c r="D14" t="s">
        <v>23</v>
      </c>
      <c r="E14" t="s">
        <v>23</v>
      </c>
    </row>
    <row r="15" spans="1:5" x14ac:dyDescent="0.25">
      <c r="A15" t="s">
        <v>76</v>
      </c>
      <c r="B15" t="s">
        <v>50</v>
      </c>
      <c r="D15" t="s">
        <v>356</v>
      </c>
      <c r="E15" t="s">
        <v>357</v>
      </c>
    </row>
    <row r="16" spans="1:5" x14ac:dyDescent="0.25">
      <c r="A16" t="s">
        <v>356</v>
      </c>
      <c r="B16" t="s">
        <v>51</v>
      </c>
      <c r="D16" t="s">
        <v>355</v>
      </c>
    </row>
    <row r="17" spans="1:5" x14ac:dyDescent="0.25">
      <c r="A17" t="s">
        <v>355</v>
      </c>
      <c r="B17" t="s">
        <v>52</v>
      </c>
    </row>
    <row r="18" spans="1:5" x14ac:dyDescent="0.25">
      <c r="A18" t="s">
        <v>357</v>
      </c>
      <c r="B18" t="s">
        <v>359</v>
      </c>
    </row>
    <row r="19" spans="1:5" x14ac:dyDescent="0.25">
      <c r="A19" t="s">
        <v>358</v>
      </c>
      <c r="B19" t="s">
        <v>360</v>
      </c>
      <c r="D19" t="s">
        <v>239</v>
      </c>
      <c r="E19" t="s">
        <v>244</v>
      </c>
    </row>
    <row r="21" spans="1:5" x14ac:dyDescent="0.25">
      <c r="A21" t="str">
        <f>'stringopbouw advies'!F4</f>
        <v>5a</v>
      </c>
      <c r="D21" t="s">
        <v>23</v>
      </c>
      <c r="E21" t="s">
        <v>23</v>
      </c>
    </row>
    <row r="22" spans="1:5" x14ac:dyDescent="0.25">
      <c r="A22" t="s">
        <v>362</v>
      </c>
      <c r="D22" t="s">
        <v>355</v>
      </c>
      <c r="E22" t="s">
        <v>358</v>
      </c>
    </row>
    <row r="23" spans="1:5" x14ac:dyDescent="0.25">
      <c r="A23" t="str">
        <f>A22&amp;""&amp;A21</f>
        <v>_5a</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3A0F6-6255-470D-AEE5-0E80E04DF332}">
  <sheetPr codeName="Sheet1"/>
  <dimension ref="A1:L28"/>
  <sheetViews>
    <sheetView showGridLines="0" zoomScale="90" zoomScaleNormal="90" workbookViewId="0">
      <selection activeCell="D23" sqref="D23"/>
    </sheetView>
  </sheetViews>
  <sheetFormatPr defaultColWidth="8.85546875" defaultRowHeight="15" x14ac:dyDescent="0.25"/>
  <cols>
    <col min="1" max="1" width="1.28515625" style="2" customWidth="1"/>
    <col min="2" max="2" width="3.85546875" style="3" customWidth="1"/>
    <col min="3" max="3" width="65.85546875" style="2" customWidth="1"/>
    <col min="4" max="4" width="55.7109375" style="1" customWidth="1"/>
    <col min="5" max="5" width="8.85546875" style="2"/>
    <col min="6" max="6" width="1.140625" style="2" customWidth="1"/>
    <col min="7" max="9" width="8.85546875" style="2"/>
    <col min="10" max="10" width="18.28515625" style="2" customWidth="1"/>
    <col min="11" max="11" width="7.7109375" style="163" hidden="1" customWidth="1"/>
    <col min="12" max="12" width="0" style="163" hidden="1" customWidth="1"/>
    <col min="13" max="16384" width="8.85546875" style="2"/>
  </cols>
  <sheetData>
    <row r="1" spans="1:12" ht="4.9000000000000004" customHeight="1" x14ac:dyDescent="0.25">
      <c r="A1" s="16"/>
      <c r="B1" s="16"/>
      <c r="C1" s="16"/>
      <c r="D1" s="17"/>
      <c r="E1" s="16"/>
      <c r="F1" s="16"/>
      <c r="G1" s="11"/>
      <c r="H1" s="11"/>
      <c r="I1" s="11"/>
      <c r="J1" s="11"/>
    </row>
    <row r="2" spans="1:12" x14ac:dyDescent="0.25">
      <c r="A2" s="18"/>
      <c r="B2" s="10"/>
      <c r="C2" s="11"/>
      <c r="D2" s="12"/>
      <c r="E2" s="11"/>
      <c r="F2" s="16"/>
      <c r="G2" s="11"/>
      <c r="H2" s="11"/>
      <c r="I2" s="11"/>
      <c r="J2" s="11"/>
      <c r="K2" s="163" t="s">
        <v>313</v>
      </c>
    </row>
    <row r="3" spans="1:12" ht="30" x14ac:dyDescent="0.25">
      <c r="A3" s="19"/>
      <c r="B3" s="13"/>
      <c r="C3" s="22" t="s">
        <v>100</v>
      </c>
      <c r="D3" s="14" t="s">
        <v>64</v>
      </c>
      <c r="E3" s="11"/>
      <c r="F3" s="16"/>
      <c r="G3" s="11"/>
      <c r="H3" s="11"/>
      <c r="I3" s="11"/>
      <c r="J3" s="11"/>
    </row>
    <row r="4" spans="1:12" x14ac:dyDescent="0.25">
      <c r="A4" s="19"/>
      <c r="B4" s="13"/>
      <c r="C4" s="11"/>
      <c r="D4" s="15"/>
      <c r="E4" s="11"/>
      <c r="F4" s="16"/>
      <c r="G4" s="11"/>
      <c r="H4" s="11"/>
      <c r="I4" s="11"/>
      <c r="J4" s="11"/>
    </row>
    <row r="5" spans="1:12" x14ac:dyDescent="0.25">
      <c r="A5" s="19"/>
      <c r="B5" s="13">
        <v>1</v>
      </c>
      <c r="C5" s="11" t="s">
        <v>0</v>
      </c>
      <c r="D5" s="201"/>
      <c r="E5" s="11"/>
      <c r="F5" s="16"/>
      <c r="G5" s="11"/>
      <c r="H5" s="11"/>
      <c r="I5" s="11"/>
      <c r="J5" s="11"/>
      <c r="K5" s="163">
        <f>IF(AND(D5="",IF(ISNUMBER(SEARCH("nvt",C5)),0,1)=1),2,3)</f>
        <v>2</v>
      </c>
      <c r="L5" s="163">
        <f>IF(AND(NOT(D5=""),IF(ISNUMBER(SEARCH("nvt",C5)),0,1)=0),2,3)</f>
        <v>3</v>
      </c>
    </row>
    <row r="6" spans="1:12" x14ac:dyDescent="0.25">
      <c r="A6" s="19"/>
      <c r="B6" s="13"/>
      <c r="C6" s="11"/>
      <c r="D6" s="12"/>
      <c r="E6" s="11"/>
      <c r="F6" s="16"/>
      <c r="G6" s="11"/>
      <c r="H6" s="11"/>
      <c r="I6" s="11"/>
      <c r="J6" s="11"/>
    </row>
    <row r="7" spans="1:12" x14ac:dyDescent="0.25">
      <c r="A7" s="19"/>
      <c r="B7" s="13">
        <v>2</v>
      </c>
      <c r="C7" s="11" t="str">
        <f>IF(D5="tenminste 25 jaar","Welke koudemiddel heeft u in uw koelsysteem?(vraag NVT)","Welke koudemiddel heeft u in uw koelsysteem?")</f>
        <v>Welke koudemiddel heeft u in uw koelsysteem?</v>
      </c>
      <c r="D7" s="201"/>
      <c r="E7" s="11"/>
      <c r="F7" s="16"/>
      <c r="G7" s="11" t="str">
        <f>IF(D7="","","GWP=")</f>
        <v/>
      </c>
      <c r="H7" s="11" t="str">
        <f>IF(D7="","",VLOOKUP(Vragenlijst!D7,dropdowns!G4:H19,2,FALSE))</f>
        <v/>
      </c>
      <c r="I7" s="11"/>
      <c r="J7" s="11"/>
      <c r="K7" s="163">
        <f t="shared" ref="K7:K23" si="0">IF(AND(D7="",IF(ISNUMBER(SEARCH("nvt",C7)),0,1)=1),2,3)</f>
        <v>2</v>
      </c>
      <c r="L7" s="163">
        <f t="shared" ref="L7:L23" si="1">IF(AND(NOT(D7=""),IF(ISNUMBER(SEARCH("nvt",C7)),0,1)=0),2,3)</f>
        <v>3</v>
      </c>
    </row>
    <row r="8" spans="1:12" x14ac:dyDescent="0.25">
      <c r="A8" s="19"/>
      <c r="B8" s="13"/>
      <c r="C8" s="11"/>
      <c r="D8" s="12"/>
      <c r="E8" s="11"/>
      <c r="F8" s="16"/>
      <c r="G8" s="11"/>
      <c r="H8" s="11"/>
      <c r="I8" s="11"/>
      <c r="J8" s="11"/>
    </row>
    <row r="9" spans="1:12" x14ac:dyDescent="0.25">
      <c r="A9" s="19"/>
      <c r="B9" s="13">
        <v>3</v>
      </c>
      <c r="C9" s="11" t="str">
        <f>IF(D5="tenminste 25 jaar","Is het koudemiddel in uw installatie het originele koudemiddel?(vraag NVT)","Is het koudemiddel in uw installatie het originele koudemiddel?")</f>
        <v>Is het koudemiddel in uw installatie het originele koudemiddel?</v>
      </c>
      <c r="D9" s="201"/>
      <c r="E9" s="11"/>
      <c r="F9" s="16"/>
      <c r="G9" s="11"/>
      <c r="H9" s="11"/>
      <c r="I9" s="11"/>
      <c r="J9" s="11"/>
      <c r="K9" s="163">
        <f t="shared" si="0"/>
        <v>2</v>
      </c>
      <c r="L9" s="163">
        <f t="shared" si="1"/>
        <v>3</v>
      </c>
    </row>
    <row r="10" spans="1:12" x14ac:dyDescent="0.25">
      <c r="A10" s="19"/>
      <c r="B10" s="13"/>
      <c r="C10" s="11"/>
      <c r="D10" s="12"/>
      <c r="E10" s="11"/>
      <c r="F10" s="16"/>
      <c r="G10" s="11"/>
      <c r="H10" s="11"/>
      <c r="I10" s="11"/>
      <c r="J10" s="11"/>
    </row>
    <row r="11" spans="1:12" x14ac:dyDescent="0.25">
      <c r="A11" s="19"/>
      <c r="B11" s="13">
        <v>4</v>
      </c>
      <c r="C11" s="11" t="s">
        <v>7</v>
      </c>
      <c r="D11" s="201"/>
      <c r="E11" s="11"/>
      <c r="F11" s="16"/>
      <c r="G11" s="11"/>
      <c r="H11" s="11"/>
      <c r="I11" s="11"/>
      <c r="J11" s="11"/>
      <c r="K11" s="163">
        <f t="shared" si="0"/>
        <v>2</v>
      </c>
      <c r="L11" s="163">
        <f t="shared" si="1"/>
        <v>3</v>
      </c>
    </row>
    <row r="12" spans="1:12" x14ac:dyDescent="0.25">
      <c r="A12" s="19"/>
      <c r="B12" s="13"/>
      <c r="C12" s="11"/>
      <c r="D12" s="12"/>
      <c r="E12" s="11"/>
      <c r="F12" s="16"/>
      <c r="G12" s="11"/>
      <c r="H12" s="11"/>
      <c r="I12" s="11"/>
      <c r="J12" s="11"/>
    </row>
    <row r="13" spans="1:12" x14ac:dyDescent="0.25">
      <c r="A13" s="19"/>
      <c r="B13" s="13">
        <v>5</v>
      </c>
      <c r="C13" s="11" t="s">
        <v>15</v>
      </c>
      <c r="D13" s="201"/>
      <c r="E13" s="11"/>
      <c r="F13" s="16"/>
      <c r="G13" s="11" t="str">
        <f>IF(LEFT(D13,3)="DXe","LET OP: nieuw systeem kan geen DPS of IDPS zijn","")</f>
        <v/>
      </c>
      <c r="H13" s="11"/>
      <c r="I13" s="11"/>
      <c r="J13" s="11"/>
      <c r="K13" s="163">
        <f t="shared" si="0"/>
        <v>2</v>
      </c>
      <c r="L13" s="163">
        <f t="shared" si="1"/>
        <v>3</v>
      </c>
    </row>
    <row r="14" spans="1:12" x14ac:dyDescent="0.25">
      <c r="A14" s="19"/>
      <c r="B14" s="13"/>
      <c r="C14" s="11"/>
      <c r="D14" s="12"/>
      <c r="E14" s="11"/>
      <c r="F14" s="16"/>
      <c r="G14" s="11"/>
      <c r="H14" s="11"/>
      <c r="I14" s="11"/>
      <c r="J14" s="11"/>
    </row>
    <row r="15" spans="1:12" x14ac:dyDescent="0.25">
      <c r="A15" s="19"/>
      <c r="B15" s="13">
        <v>6</v>
      </c>
      <c r="C15" s="11" t="s">
        <v>21</v>
      </c>
      <c r="D15" s="201"/>
      <c r="E15" s="11"/>
      <c r="F15" s="16"/>
      <c r="G15" s="11" t="str">
        <f>IF(D15="nee","LET OP: dan blijft koelvermogen gelijk","")</f>
        <v/>
      </c>
      <c r="H15" s="11"/>
      <c r="I15" s="11"/>
      <c r="J15" s="11"/>
      <c r="K15" s="163">
        <f t="shared" si="0"/>
        <v>2</v>
      </c>
      <c r="L15" s="163">
        <f t="shared" si="1"/>
        <v>3</v>
      </c>
    </row>
    <row r="16" spans="1:12" x14ac:dyDescent="0.25">
      <c r="A16" s="19"/>
      <c r="B16" s="13"/>
      <c r="C16" s="11"/>
      <c r="D16" s="12"/>
      <c r="E16" s="11"/>
      <c r="F16" s="16"/>
      <c r="G16" s="11"/>
      <c r="H16" s="11"/>
      <c r="I16" s="11"/>
      <c r="J16" s="11"/>
    </row>
    <row r="17" spans="1:12" ht="15.75" x14ac:dyDescent="0.25">
      <c r="A17" s="19"/>
      <c r="B17" s="13">
        <v>7</v>
      </c>
      <c r="C17" s="11" t="str">
        <f>IF(D15="nee","Wat is het gewenst koelvermogen en systeem? (NVT)","Wat is het gewenst koelvermogen en systeem?")</f>
        <v>Wat is het gewenst koelvermogen en systeem?</v>
      </c>
      <c r="D17" s="201"/>
      <c r="E17" s="11"/>
      <c r="F17" s="16"/>
      <c r="G17" s="134" t="str">
        <f>IF(D17="","",IF('stringopbouw advies'!Q15=1,IF(ISNUMBER(SEARCH("DPS",$D$17)),"je kunt niet van DXe naar DPS of IDPS",""),IF('stringopbouw advies'!Q15=2,IF('stringopbouw advies'!Q17=2,"kan niet: dit is geen verhoging van koelvermogen",""),IF(OR('stringopbouw advies'!Q15=3,'stringopbouw advies'!Q15=5),IF(OR('stringopbouw advies'!Q17=2,'stringopbouw advies'!Q17=3,'stringopbouw advies'!Q17=4),"kan niet: dit is geen verhoging van koelvermogen",""),IF(OR('stringopbouw advies'!Q15=4,'stringopbouw advies'!Q15=6),IF(OR('stringopbouw advies'!Q17=2,'stringopbouw advies'!Q17=3,'stringopbouw advies'!Q17=4,'stringopbouw advies'!Q17=5,'stringopbouw advies'!Q17=6),"kan niet: dit is geen verhoging van koelvermogen",""))))))</f>
        <v/>
      </c>
      <c r="H17" s="11"/>
      <c r="I17" s="11"/>
      <c r="J17" s="11"/>
      <c r="K17" s="163">
        <f t="shared" si="0"/>
        <v>2</v>
      </c>
      <c r="L17" s="163">
        <f t="shared" si="1"/>
        <v>3</v>
      </c>
    </row>
    <row r="18" spans="1:12" x14ac:dyDescent="0.25">
      <c r="A18" s="19"/>
      <c r="B18" s="13"/>
      <c r="C18" s="11"/>
      <c r="D18" s="12"/>
      <c r="E18" s="11"/>
      <c r="F18" s="16"/>
      <c r="G18" s="135" t="str">
        <f>IF(G17="","","KIES OPNIEUW")</f>
        <v/>
      </c>
      <c r="H18" s="11"/>
      <c r="I18" s="11"/>
      <c r="J18" s="11"/>
    </row>
    <row r="19" spans="1:12" ht="17.45" customHeight="1" x14ac:dyDescent="0.25">
      <c r="A19" s="19"/>
      <c r="B19" s="13">
        <v>8</v>
      </c>
      <c r="C19" s="11" t="str">
        <f>IF(D5="tenminste 25 jaar","Wilt u een natuurlijk koudemiddel, zoals NH3, CO2 of propaan?(vraag NVT)","Wilt u een natuurlijk koudemiddel, zoals NH3, CO2 of propaan?")</f>
        <v>Wilt u een natuurlijk koudemiddel, zoals NH3, CO2 of propaan?</v>
      </c>
      <c r="D19" s="201"/>
      <c r="E19" s="11"/>
      <c r="F19" s="16"/>
      <c r="G19" s="207" t="str">
        <f>IF(OR(D19="nee, liever een alternatief F-gas",D19="nee, houdt liefst hetzelfde F-gas"),IF(OR(D17="",D17="gelijk koelvermogen"),"","kan niet met verhoging koelvermogen; alleen als van DXc naar IDPS met F-gas met GWP&lt;150, dan wel."),"")</f>
        <v/>
      </c>
      <c r="H19" s="207"/>
      <c r="I19" s="207"/>
      <c r="J19" s="207"/>
      <c r="K19" s="163">
        <f t="shared" si="0"/>
        <v>2</v>
      </c>
      <c r="L19" s="163">
        <f t="shared" si="1"/>
        <v>3</v>
      </c>
    </row>
    <row r="20" spans="1:12" x14ac:dyDescent="0.25">
      <c r="A20" s="19"/>
      <c r="B20" s="13"/>
      <c r="C20" s="11"/>
      <c r="D20" s="12"/>
      <c r="E20" s="11"/>
      <c r="F20" s="16"/>
      <c r="G20" s="11"/>
      <c r="H20" s="11"/>
      <c r="I20" s="11"/>
      <c r="J20" s="11"/>
    </row>
    <row r="21" spans="1:12" x14ac:dyDescent="0.25">
      <c r="A21" s="19"/>
      <c r="B21" s="13">
        <v>9</v>
      </c>
      <c r="C21" s="11" t="str">
        <f>IF('stringopbouw advies'!Q18=2,IF('stringopbouw advies'!Q17&lt;2,IF('stringopbouw advies'!Q11&lt;&gt;1,"Deze vraag is NVT. Ga verder met de volgende vraag.","Wat is uw investeringsbudget?"),"Wat is uw investeringsbudget?"),"Wat is uw investeringsbudget?")</f>
        <v>Wat is uw investeringsbudget?</v>
      </c>
      <c r="D21" s="201"/>
      <c r="E21" s="11"/>
      <c r="F21" s="16"/>
      <c r="G21" s="11"/>
      <c r="H21" s="11"/>
      <c r="I21" s="11"/>
      <c r="J21" s="11"/>
      <c r="K21" s="163">
        <f t="shared" si="0"/>
        <v>2</v>
      </c>
      <c r="L21" s="163">
        <f t="shared" si="1"/>
        <v>3</v>
      </c>
    </row>
    <row r="22" spans="1:12" x14ac:dyDescent="0.25">
      <c r="A22" s="19"/>
      <c r="B22" s="13"/>
      <c r="C22" s="11"/>
      <c r="D22" s="12"/>
      <c r="E22" s="11"/>
      <c r="F22" s="16"/>
      <c r="G22" s="11"/>
      <c r="H22" s="11"/>
      <c r="I22" s="11"/>
      <c r="J22" s="11"/>
    </row>
    <row r="23" spans="1:12" x14ac:dyDescent="0.25">
      <c r="A23" s="19"/>
      <c r="B23" s="13">
        <v>10</v>
      </c>
      <c r="C23" s="11" t="str">
        <f>IF('stringopbouw advies'!Q19=2,IF(AND('stringopbouw advies'!R19=0,'stringopbouw advies'!S19=2),"Deze vraag is NVT. Dit is het einde van de vragenlijst.","In welk seizoen wordt het koelsysteem het meest gebruikt?"),"In welk seizoen wordt het koelsysteem het meest gebruikt?")</f>
        <v>In welk seizoen wordt het koelsysteem het meest gebruikt?</v>
      </c>
      <c r="D23" s="201"/>
      <c r="E23" s="11"/>
      <c r="F23" s="16"/>
      <c r="G23" s="11"/>
      <c r="H23" s="11"/>
      <c r="I23" s="11"/>
      <c r="J23" s="11"/>
      <c r="K23" s="163">
        <f t="shared" si="0"/>
        <v>2</v>
      </c>
      <c r="L23" s="163">
        <f t="shared" si="1"/>
        <v>3</v>
      </c>
    </row>
    <row r="24" spans="1:12" x14ac:dyDescent="0.25">
      <c r="A24" s="19"/>
      <c r="B24" s="13"/>
      <c r="C24" s="11"/>
      <c r="D24" s="12"/>
      <c r="E24" s="11"/>
      <c r="F24" s="16"/>
      <c r="G24" s="11"/>
      <c r="H24" s="11"/>
      <c r="I24" s="11"/>
      <c r="J24" s="11"/>
    </row>
    <row r="25" spans="1:12" x14ac:dyDescent="0.25">
      <c r="A25" s="19"/>
      <c r="B25" s="13"/>
      <c r="C25" s="11"/>
      <c r="D25" s="12"/>
      <c r="E25" s="11"/>
      <c r="F25" s="16"/>
      <c r="G25" s="11"/>
      <c r="H25" s="11"/>
      <c r="I25" s="11"/>
      <c r="J25" s="11"/>
    </row>
    <row r="26" spans="1:12" ht="4.9000000000000004" customHeight="1" x14ac:dyDescent="0.25">
      <c r="A26" s="19"/>
      <c r="B26" s="19"/>
      <c r="C26" s="16"/>
      <c r="D26" s="17"/>
      <c r="E26" s="16"/>
      <c r="F26" s="16"/>
      <c r="G26" s="11"/>
      <c r="H26" s="11"/>
      <c r="I26" s="11"/>
      <c r="J26" s="11"/>
    </row>
    <row r="27" spans="1:12" x14ac:dyDescent="0.25">
      <c r="A27" s="13"/>
      <c r="B27" s="13"/>
      <c r="C27" s="11"/>
      <c r="D27" s="12"/>
      <c r="E27" s="11"/>
      <c r="F27" s="11"/>
      <c r="G27" s="11"/>
      <c r="H27" s="11"/>
      <c r="I27" s="11"/>
      <c r="J27" s="11"/>
      <c r="K27" s="163">
        <f>IF(COUNTIF(K5:L23,2)&gt;0,0,1)</f>
        <v>0</v>
      </c>
      <c r="L27" s="2" t="s">
        <v>314</v>
      </c>
    </row>
    <row r="28" spans="1:12" x14ac:dyDescent="0.25">
      <c r="A28" s="13"/>
      <c r="B28" s="13"/>
      <c r="C28" s="11"/>
      <c r="D28" s="12"/>
      <c r="E28" s="11"/>
      <c r="F28" s="11"/>
      <c r="G28" s="11"/>
      <c r="H28" s="11"/>
      <c r="I28" s="11"/>
      <c r="J28" s="11"/>
    </row>
  </sheetData>
  <sheetProtection algorithmName="SHA-512" hashValue="T90nFqINwi2Yrpy2y3CyqJYLCP/6xO5hlhQwvh6/CudZfnehMLhwiQnMCHmxXUZl2hMMiIQIR1kb6mOB5Egxew==" saltValue="p8COSEm1kxiHrnp6DcVJVg==" spinCount="100000" sheet="1" objects="1" scenarios="1" selectLockedCells="1"/>
  <mergeCells count="1">
    <mergeCell ref="G19:J19"/>
  </mergeCells>
  <conditionalFormatting sqref="C7">
    <cfRule type="containsText" dxfId="66" priority="14" operator="containsText" text="nvt">
      <formula>NOT(ISERROR(SEARCH("nvt",C7)))</formula>
    </cfRule>
  </conditionalFormatting>
  <conditionalFormatting sqref="C9">
    <cfRule type="containsText" dxfId="65" priority="13" operator="containsText" text="nvt">
      <formula>NOT(ISERROR(SEARCH("nvt",C9)))</formula>
    </cfRule>
  </conditionalFormatting>
  <conditionalFormatting sqref="C19">
    <cfRule type="containsText" dxfId="64" priority="12" operator="containsText" text="nvt">
      <formula>NOT(ISERROR(SEARCH("nvt",C19)))</formula>
    </cfRule>
  </conditionalFormatting>
  <conditionalFormatting sqref="C21">
    <cfRule type="containsText" dxfId="63" priority="10" operator="containsText" text="nvt">
      <formula>NOT(ISERROR(SEARCH("nvt",C21)))</formula>
    </cfRule>
    <cfRule type="containsText" dxfId="62" priority="11" operator="containsText" text="&quot;nvt&quot;">
      <formula>NOT(ISERROR(SEARCH("""nvt""",C21)))</formula>
    </cfRule>
  </conditionalFormatting>
  <conditionalFormatting sqref="C23">
    <cfRule type="containsText" dxfId="61" priority="7" operator="containsText" text="nvt">
      <formula>NOT(ISERROR(SEARCH("nvt",C23)))</formula>
    </cfRule>
    <cfRule type="containsText" dxfId="60" priority="8" operator="containsText" text="&quot;nvt&quot;">
      <formula>NOT(ISERROR(SEARCH("""nvt""",C23)))</formula>
    </cfRule>
  </conditionalFormatting>
  <conditionalFormatting sqref="G19:J19">
    <cfRule type="containsText" dxfId="59" priority="6" operator="containsText" text="kan">
      <formula>NOT(ISERROR(SEARCH("kan",G19)))</formula>
    </cfRule>
  </conditionalFormatting>
  <conditionalFormatting sqref="G13:J13">
    <cfRule type="containsText" dxfId="58" priority="5" operator="containsText" text="DPS">
      <formula>NOT(ISERROR(SEARCH("DPS",G13)))</formula>
    </cfRule>
  </conditionalFormatting>
  <conditionalFormatting sqref="C17">
    <cfRule type="containsText" dxfId="57" priority="2" operator="containsText" text="nvt">
      <formula>NOT(ISERROR(SEARCH("nvt",C17)))</formula>
    </cfRule>
    <cfRule type="duplicateValues" dxfId="56" priority="3"/>
  </conditionalFormatting>
  <conditionalFormatting sqref="G15">
    <cfRule type="containsText" dxfId="55" priority="1" operator="containsText" text="gelijk">
      <formula>NOT(ISERROR(SEARCH("gelijk",G15)))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DC24A93C-96E8-4F65-A4C8-C3B8DF05190D}">
          <x14:formula1>
            <xm:f>dropdowns!$C$3:$C$5</xm:f>
          </x14:formula1>
          <xm:sqref>D5</xm:sqref>
        </x14:dataValidation>
        <x14:dataValidation type="list" allowBlank="1" showInputMessage="1" showErrorMessage="1" xr:uid="{C6AF6068-D17A-4DCC-963C-1874E1CC6E24}">
          <x14:formula1>
            <xm:f>dropdowns!$G$3:$G$12</xm:f>
          </x14:formula1>
          <xm:sqref>D7</xm:sqref>
        </x14:dataValidation>
        <x14:dataValidation type="list" allowBlank="1" showInputMessage="1" showErrorMessage="1" xr:uid="{8AA30221-BA07-40A7-B7E4-72C7C5BE73EA}">
          <x14:formula1>
            <xm:f>dropdowns!$C$9:$C$11</xm:f>
          </x14:formula1>
          <xm:sqref>D9</xm:sqref>
        </x14:dataValidation>
        <x14:dataValidation type="list" allowBlank="1" showInputMessage="1" showErrorMessage="1" xr:uid="{AA539858-6E03-4486-A8E0-169E0B5C2084}">
          <x14:formula1>
            <xm:f>dropdowns!$C$12:$C$15</xm:f>
          </x14:formula1>
          <xm:sqref>D11</xm:sqref>
        </x14:dataValidation>
        <x14:dataValidation type="list" allowBlank="1" showInputMessage="1" showErrorMessage="1" xr:uid="{0A6FCAB4-AB34-4E9C-B81A-29605B8B1CAE}">
          <x14:formula1>
            <xm:f>dropdowns!$C$23:$C$25</xm:f>
          </x14:formula1>
          <xm:sqref>D15</xm:sqref>
        </x14:dataValidation>
        <x14:dataValidation type="list" allowBlank="1" showInputMessage="1" showErrorMessage="1" xr:uid="{BBBC2EAE-8235-40BF-97FA-B249C852432D}">
          <x14:formula1>
            <xm:f>dropdowns!$C$36:$C$39</xm:f>
          </x14:formula1>
          <xm:sqref>D19</xm:sqref>
        </x14:dataValidation>
        <x14:dataValidation type="list" allowBlank="1" showInputMessage="1" showErrorMessage="1" xr:uid="{9C35E93B-73A1-43F7-AE2C-1E665ABFD898}">
          <x14:formula1>
            <xm:f>dropdowns!$C$40:$C$42</xm:f>
          </x14:formula1>
          <xm:sqref>D21</xm:sqref>
        </x14:dataValidation>
        <x14:dataValidation type="list" allowBlank="1" showInputMessage="1" showErrorMessage="1" xr:uid="{064DA339-2035-468F-9D11-E8662A5241EE}">
          <x14:formula1>
            <xm:f>dropdowns!$C$43:$C$45</xm:f>
          </x14:formula1>
          <xm:sqref>D23</xm:sqref>
        </x14:dataValidation>
        <x14:dataValidation type="list" allowBlank="1" showInputMessage="1" showErrorMessage="1" xr:uid="{39A3AE85-5BA9-4287-A67A-B4E29C447DD5}">
          <x14:formula1>
            <xm:f>dropdowns!$C$16:$C$22</xm:f>
          </x14:formula1>
          <xm:sqref>D13</xm:sqref>
        </x14:dataValidation>
        <x14:dataValidation type="list" allowBlank="1" showInputMessage="1" showErrorMessage="1" xr:uid="{7C9EB41E-819D-438E-A148-7A9DD0E81600}">
          <x14:formula1>
            <xm:f>INDIRECT('dynamische dropdowns'!$A$23)</xm:f>
          </x14:formula1>
          <xm:sqref>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D10C8-CF1E-4114-A76B-17AA6A576ADA}">
  <sheetPr codeName="Sheet5"/>
  <dimension ref="A1:L34"/>
  <sheetViews>
    <sheetView showGridLines="0" zoomScale="80" zoomScaleNormal="80" workbookViewId="0">
      <selection activeCell="E20" sqref="E20"/>
    </sheetView>
  </sheetViews>
  <sheetFormatPr defaultColWidth="8.85546875" defaultRowHeight="15" x14ac:dyDescent="0.25"/>
  <cols>
    <col min="1" max="1" width="17.5703125" style="49" customWidth="1"/>
    <col min="2" max="2" width="63" style="49" customWidth="1"/>
    <col min="3" max="3" width="52.42578125" style="49" customWidth="1"/>
    <col min="4" max="4" width="29.5703125" style="49" customWidth="1"/>
    <col min="5" max="5" width="12.7109375" style="50" customWidth="1"/>
    <col min="6" max="6" width="30.140625" style="50" customWidth="1"/>
    <col min="7" max="8" width="7.5703125" style="50" bestFit="1" customWidth="1"/>
    <col min="9" max="9" width="9.85546875" style="50" customWidth="1"/>
    <col min="10" max="10" width="17.7109375" style="137" customWidth="1"/>
    <col min="11" max="11" width="4.85546875" style="137" bestFit="1" customWidth="1"/>
    <col min="12" max="12" width="4.85546875" style="137" customWidth="1"/>
    <col min="13" max="13" width="9.7109375" style="50" customWidth="1"/>
    <col min="14" max="15" width="8.85546875" style="50"/>
    <col min="16" max="16" width="63.140625" style="50" bestFit="1" customWidth="1"/>
    <col min="17" max="17" width="25.85546875" style="50" bestFit="1" customWidth="1"/>
    <col min="18" max="18" width="4.5703125" style="50" bestFit="1" customWidth="1"/>
    <col min="19" max="19" width="6.7109375" style="50" bestFit="1" customWidth="1"/>
    <col min="20" max="16384" width="8.85546875" style="50"/>
  </cols>
  <sheetData>
    <row r="1" spans="1:10" ht="15.75" thickBot="1" x14ac:dyDescent="0.3"/>
    <row r="2" spans="1:10" ht="15.75" thickBot="1" x14ac:dyDescent="0.3">
      <c r="A2" s="50"/>
      <c r="B2" s="145" t="s">
        <v>214</v>
      </c>
      <c r="C2" s="136"/>
      <c r="E2" s="49"/>
    </row>
    <row r="3" spans="1:10" ht="33.6" customHeight="1" thickBot="1" x14ac:dyDescent="0.35">
      <c r="A3" s="50"/>
      <c r="B3" s="211" t="s">
        <v>77</v>
      </c>
      <c r="C3" s="212"/>
      <c r="E3" s="172" t="s">
        <v>308</v>
      </c>
      <c r="F3" s="173"/>
      <c r="G3" s="173"/>
      <c r="H3" s="173"/>
      <c r="I3" s="173"/>
      <c r="J3" s="174"/>
    </row>
    <row r="4" spans="1:10" ht="19.5" thickBot="1" x14ac:dyDescent="0.35">
      <c r="A4" s="50"/>
      <c r="B4" s="51" t="s">
        <v>78</v>
      </c>
      <c r="C4" s="52" t="s">
        <v>307</v>
      </c>
      <c r="E4" s="175" t="s">
        <v>309</v>
      </c>
      <c r="F4" s="176" t="s">
        <v>310</v>
      </c>
      <c r="G4" s="177"/>
      <c r="H4" s="177"/>
      <c r="I4" s="177"/>
      <c r="J4" s="178"/>
    </row>
    <row r="5" spans="1:10" ht="15.75" thickBot="1" x14ac:dyDescent="0.3">
      <c r="A5" s="50"/>
      <c r="B5" s="81" t="s">
        <v>86</v>
      </c>
      <c r="C5" s="82" t="str">
        <f>IF(ISBLANK(Vragenlijst!D5),"",Vragenlijst!D5)</f>
        <v/>
      </c>
      <c r="E5" s="179"/>
      <c r="F5" s="180"/>
      <c r="G5" s="180"/>
      <c r="H5" s="180"/>
      <c r="I5" s="180"/>
      <c r="J5" s="178"/>
    </row>
    <row r="6" spans="1:10" ht="19.5" thickBot="1" x14ac:dyDescent="0.35">
      <c r="A6" s="50"/>
      <c r="B6" s="81" t="s">
        <v>87</v>
      </c>
      <c r="C6" s="82" t="str">
        <f>IF(ISBLANK(Vragenlijst!D7),"",Vragenlijst!D7)</f>
        <v/>
      </c>
      <c r="E6" s="181" t="s">
        <v>311</v>
      </c>
      <c r="F6" s="180"/>
      <c r="G6" s="180"/>
      <c r="H6" s="180"/>
      <c r="I6" s="180"/>
      <c r="J6" s="178"/>
    </row>
    <row r="7" spans="1:10" ht="19.5" thickBot="1" x14ac:dyDescent="0.35">
      <c r="A7" s="50"/>
      <c r="B7" s="81" t="s">
        <v>88</v>
      </c>
      <c r="C7" s="83" t="str">
        <f>IF(ISBLANK(Vragenlijst!D9),"",Vragenlijst!D9)</f>
        <v/>
      </c>
      <c r="E7" s="182" t="s">
        <v>309</v>
      </c>
      <c r="F7" s="183" t="s">
        <v>312</v>
      </c>
      <c r="G7" s="184"/>
      <c r="H7" s="184"/>
      <c r="I7" s="184"/>
      <c r="J7" s="185"/>
    </row>
    <row r="8" spans="1:10" ht="15.75" thickBot="1" x14ac:dyDescent="0.3">
      <c r="A8" s="50"/>
      <c r="B8" s="81" t="s">
        <v>89</v>
      </c>
      <c r="C8" s="83" t="str">
        <f>IF(ISBLANK(Vragenlijst!D11),"",Vragenlijst!D11)</f>
        <v/>
      </c>
      <c r="E8" s="49"/>
    </row>
    <row r="9" spans="1:10" ht="15.75" thickBot="1" x14ac:dyDescent="0.3">
      <c r="A9" s="50"/>
      <c r="B9" s="81" t="s">
        <v>93</v>
      </c>
      <c r="C9" s="83" t="str">
        <f>IF(ISBLANK(Vragenlijst!D13),"",Vragenlijst!D13)</f>
        <v/>
      </c>
      <c r="E9" s="49"/>
    </row>
    <row r="10" spans="1:10" ht="15.75" thickBot="1" x14ac:dyDescent="0.3">
      <c r="A10" s="50"/>
      <c r="B10" s="84" t="s">
        <v>90</v>
      </c>
      <c r="C10" s="83" t="str">
        <f>IF(ISBLANK(Vragenlijst!D15),"",Vragenlijst!D15)</f>
        <v/>
      </c>
      <c r="E10" s="49"/>
    </row>
    <row r="11" spans="1:10" ht="15.75" thickBot="1" x14ac:dyDescent="0.3">
      <c r="A11" s="50"/>
      <c r="B11" s="85" t="s">
        <v>94</v>
      </c>
      <c r="C11" s="83" t="str">
        <f>IF(ISBLANK(Vragenlijst!D17),"",Vragenlijst!D17)</f>
        <v/>
      </c>
      <c r="E11" s="49"/>
    </row>
    <row r="12" spans="1:10" ht="15.75" thickBot="1" x14ac:dyDescent="0.3">
      <c r="A12" s="50"/>
      <c r="B12" s="81" t="s">
        <v>252</v>
      </c>
      <c r="C12" s="83" t="str">
        <f>IF(ISBLANK(Vragenlijst!D19),"",Vragenlijst!D19)</f>
        <v/>
      </c>
      <c r="E12" s="49"/>
    </row>
    <row r="13" spans="1:10" ht="15.75" thickBot="1" x14ac:dyDescent="0.3">
      <c r="A13" s="50"/>
      <c r="B13" s="81" t="s">
        <v>92</v>
      </c>
      <c r="C13" s="83" t="str">
        <f>IF(ISBLANK(Vragenlijst!D21),"",Vragenlijst!D21)</f>
        <v/>
      </c>
      <c r="E13" s="49"/>
    </row>
    <row r="14" spans="1:10" ht="15.75" thickBot="1" x14ac:dyDescent="0.3">
      <c r="A14" s="50"/>
      <c r="B14" s="81" t="s">
        <v>253</v>
      </c>
      <c r="C14" s="83" t="str">
        <f>IF(ISBLANK(Vragenlijst!D23),"",Vragenlijst!D23)</f>
        <v/>
      </c>
      <c r="E14" s="49"/>
    </row>
    <row r="15" spans="1:10" hidden="1" x14ac:dyDescent="0.25">
      <c r="A15" s="113"/>
      <c r="B15" s="113"/>
    </row>
    <row r="16" spans="1:10" ht="45" hidden="1" x14ac:dyDescent="0.25">
      <c r="A16" s="119" t="str">
        <f>0&amp;"-"&amp;A20&amp;"-"&amp;A21&amp;"-"&amp;A22&amp;"-"&amp;A23&amp;"-"&amp;A24&amp;"-"&amp;A25&amp;"-"&amp;A26&amp;"-"&amp;A27&amp;"-"&amp;A28&amp;"-"&amp;A29</f>
        <v>0-1-2-3a-3b-4a1-4a2-4b1-4b2-4c1-4c2</v>
      </c>
      <c r="B16" s="113"/>
    </row>
    <row r="17" spans="1:12" x14ac:dyDescent="0.25">
      <c r="A17" s="114"/>
      <c r="B17" s="114"/>
      <c r="F17" s="210" t="s">
        <v>200</v>
      </c>
      <c r="G17" s="210"/>
      <c r="H17" s="210"/>
      <c r="I17" s="210"/>
      <c r="J17" s="210"/>
      <c r="K17" s="210"/>
      <c r="L17" s="210"/>
    </row>
    <row r="18" spans="1:12" x14ac:dyDescent="0.25">
      <c r="A18" s="208"/>
      <c r="B18" s="208"/>
      <c r="E18" s="53" t="s">
        <v>143</v>
      </c>
      <c r="F18" s="209" t="s">
        <v>101</v>
      </c>
      <c r="G18" s="209"/>
      <c r="H18" s="209"/>
      <c r="I18" s="209"/>
      <c r="J18" s="209" t="s">
        <v>138</v>
      </c>
      <c r="K18" s="209"/>
      <c r="L18" s="209"/>
    </row>
    <row r="19" spans="1:12" x14ac:dyDescent="0.25">
      <c r="A19" s="117" t="s">
        <v>230</v>
      </c>
      <c r="B19" s="117" t="s">
        <v>251</v>
      </c>
      <c r="C19" s="141" t="s">
        <v>106</v>
      </c>
      <c r="D19" s="142" t="s">
        <v>107</v>
      </c>
      <c r="E19" s="143" t="s">
        <v>139</v>
      </c>
      <c r="F19" s="144" t="s">
        <v>140</v>
      </c>
      <c r="G19" s="144" t="s">
        <v>141</v>
      </c>
      <c r="H19" s="144" t="s">
        <v>142</v>
      </c>
      <c r="I19" s="144" t="s">
        <v>177</v>
      </c>
      <c r="J19" s="150" t="s">
        <v>102</v>
      </c>
      <c r="K19" s="150" t="s">
        <v>103</v>
      </c>
      <c r="L19" s="150" t="s">
        <v>104</v>
      </c>
    </row>
    <row r="20" spans="1:12" ht="45" x14ac:dyDescent="0.25">
      <c r="A20" s="118" cm="1">
        <f t="array" ref="A20:L32">_xlfn._xlws.FILTER(Table1[],ISNUMBER(SEARCH("advies",Table1[Voor schatting investering, onderhoud, en energiekosten: zie tabel hier onder (tabel 2)])),"geen advies nodig/mogelijk")</f>
        <v>1</v>
      </c>
      <c r="B20" s="49" t="str">
        <v>Advies: Behoud van huidige systeem met gedeeltelijke ombouw &amp; wisseling naar alternatief F-gas, gerecycled koudemiddel mogelijk tot 2030</v>
      </c>
      <c r="C20" s="49">
        <v>0</v>
      </c>
      <c r="D20" s="49" t="str">
        <v/>
      </c>
      <c r="E20" s="50" t="str">
        <v>niet relevant</v>
      </c>
      <c r="F20" s="137" t="str">
        <v/>
      </c>
      <c r="G20" s="137" t="str">
        <v/>
      </c>
      <c r="H20" s="137" t="str">
        <v/>
      </c>
      <c r="I20" s="137" t="str">
        <v/>
      </c>
      <c r="J20" s="137" t="str">
        <v/>
      </c>
      <c r="K20" s="137" t="str">
        <v/>
      </c>
      <c r="L20" s="137" t="str">
        <v/>
      </c>
    </row>
    <row r="21" spans="1:12" ht="30" customHeight="1" x14ac:dyDescent="0.25">
      <c r="A21" s="118">
        <v>2</v>
      </c>
      <c r="B21" s="49" t="str">
        <v>Advies: Gedeeltelijke ombouw. Tot 2030, alleen met gerecycled koudemiddel. Gedeeltelijke ombouw naar indirect koudedrager pompsysteem met F-gas &lt;150, let op voor PFAS reglementen</v>
      </c>
      <c r="C21" s="49">
        <v>0</v>
      </c>
      <c r="D21" s="49" t="str">
        <v/>
      </c>
      <c r="E21" s="50" t="str">
        <v>niet relevant</v>
      </c>
      <c r="F21" s="137" t="str">
        <v/>
      </c>
      <c r="G21" s="137" t="str">
        <v/>
      </c>
      <c r="H21" s="137" t="str">
        <v/>
      </c>
      <c r="I21" s="137" t="str">
        <v/>
      </c>
      <c r="J21" s="137" t="str">
        <v/>
      </c>
      <c r="K21" s="137" t="str">
        <v/>
      </c>
      <c r="L21" s="137" t="str">
        <v/>
      </c>
    </row>
    <row r="22" spans="1:12" ht="30" x14ac:dyDescent="0.25">
      <c r="A22" s="118" t="str">
        <v>3a</v>
      </c>
      <c r="B22" s="49" t="str">
        <v>Advies: Gedeeltelijke ombouw met natuurlijk koudemiddelen: met CO2</v>
      </c>
      <c r="C22" s="49">
        <v>0</v>
      </c>
      <c r="D22" s="49" t="str">
        <v/>
      </c>
      <c r="E22" s="50" t="str">
        <v>niet relevant</v>
      </c>
      <c r="F22" s="137" t="str">
        <v/>
      </c>
      <c r="G22" s="137" t="str">
        <v/>
      </c>
      <c r="H22" s="137" t="str">
        <v/>
      </c>
      <c r="I22" s="137" t="str">
        <v/>
      </c>
      <c r="J22" s="137">
        <v>1</v>
      </c>
      <c r="K22" s="137">
        <v>1</v>
      </c>
      <c r="L22" s="137">
        <v>1</v>
      </c>
    </row>
    <row r="23" spans="1:12" ht="30" x14ac:dyDescent="0.25">
      <c r="A23" s="118" t="str">
        <v>3b</v>
      </c>
      <c r="B23" s="49" t="str">
        <v>Advies: Gedeeltelijke ombouw met natuurlijk koudemiddelen: zonder CO2</v>
      </c>
      <c r="C23" s="49">
        <v>0</v>
      </c>
      <c r="D23" s="49" t="str">
        <v/>
      </c>
      <c r="E23" s="50" t="str">
        <v>niet relevant</v>
      </c>
      <c r="F23" s="137" t="str">
        <v/>
      </c>
      <c r="G23" s="137" t="str">
        <v/>
      </c>
      <c r="H23" s="137" t="str">
        <v/>
      </c>
      <c r="I23" s="137" t="str">
        <v/>
      </c>
      <c r="J23" s="137">
        <v>1</v>
      </c>
      <c r="K23" s="137" t="str">
        <v/>
      </c>
      <c r="L23" s="137">
        <v>1</v>
      </c>
    </row>
    <row r="24" spans="1:12" ht="30" x14ac:dyDescent="0.25">
      <c r="A24" s="118" t="str">
        <v>4a1</v>
      </c>
      <c r="B24" s="49" t="str">
        <v>Advies: Volledige vervanging naar natuurlijke middelen: DXe; met CO2</v>
      </c>
      <c r="C24" s="49">
        <v>0</v>
      </c>
      <c r="D24" s="49" t="b">
        <v>0</v>
      </c>
      <c r="E24" s="50" t="str">
        <v>niet relevant</v>
      </c>
      <c r="F24" s="50" t="str">
        <v/>
      </c>
      <c r="G24" s="50" t="str">
        <v/>
      </c>
      <c r="H24" s="50" t="str">
        <v/>
      </c>
      <c r="I24" s="50" t="str">
        <v/>
      </c>
      <c r="J24" s="137">
        <v>1</v>
      </c>
      <c r="K24" s="137">
        <v>1</v>
      </c>
      <c r="L24" s="137">
        <v>1</v>
      </c>
    </row>
    <row r="25" spans="1:12" ht="30" x14ac:dyDescent="0.25">
      <c r="A25" s="118" t="str">
        <v>4a2</v>
      </c>
      <c r="B25" s="49" t="str">
        <v>Advies: Volledige vervanging naar natuurlijke middelen: DXe; zonder CO2</v>
      </c>
      <c r="C25" s="49">
        <v>0</v>
      </c>
      <c r="D25" s="49" t="b">
        <v>0</v>
      </c>
      <c r="E25" s="50" t="str">
        <v>niet relevant</v>
      </c>
      <c r="F25" s="50" t="str">
        <v/>
      </c>
      <c r="G25" s="50" t="str">
        <v/>
      </c>
      <c r="H25" s="50" t="str">
        <v/>
      </c>
      <c r="I25" s="50" t="str">
        <v/>
      </c>
      <c r="J25" s="137">
        <v>1</v>
      </c>
      <c r="K25" s="137" t="str">
        <v/>
      </c>
      <c r="L25" s="137">
        <v>1</v>
      </c>
    </row>
    <row r="26" spans="1:12" ht="30" x14ac:dyDescent="0.25">
      <c r="A26" s="118" t="str">
        <v>4b1</v>
      </c>
      <c r="B26" s="49" t="str">
        <v>Advies: Volledige vervanging naar natuurlijke middelen:DXc: met CO2</v>
      </c>
      <c r="C26" s="49">
        <v>0</v>
      </c>
      <c r="D26" s="49" t="b">
        <v>0</v>
      </c>
      <c r="E26" s="50" t="str">
        <v>niet relevant</v>
      </c>
      <c r="F26" s="50" t="str">
        <v/>
      </c>
      <c r="G26" s="50" t="str">
        <v/>
      </c>
      <c r="H26" s="50" t="str">
        <v/>
      </c>
      <c r="I26" s="50" t="str">
        <v/>
      </c>
      <c r="J26" s="137">
        <v>1</v>
      </c>
      <c r="K26" s="137">
        <v>1</v>
      </c>
      <c r="L26" s="137">
        <v>1</v>
      </c>
    </row>
    <row r="27" spans="1:12" ht="30" x14ac:dyDescent="0.25">
      <c r="A27" s="118" t="str">
        <v>4b2</v>
      </c>
      <c r="B27" s="49" t="str">
        <v>Advies: Volledige vervanging naar natuurlijke middelen:DXc: zonder CO2</v>
      </c>
      <c r="C27" s="49">
        <v>0</v>
      </c>
      <c r="D27" s="49" t="b">
        <v>0</v>
      </c>
      <c r="E27" s="50" t="str">
        <v>niet relevant</v>
      </c>
      <c r="F27" s="50" t="str">
        <v/>
      </c>
      <c r="G27" s="50" t="str">
        <v/>
      </c>
      <c r="H27" s="50" t="str">
        <v/>
      </c>
      <c r="I27" s="50" t="str">
        <v/>
      </c>
      <c r="J27" s="137">
        <v>1</v>
      </c>
      <c r="K27" s="137" t="str">
        <v/>
      </c>
      <c r="L27" s="137">
        <v>1</v>
      </c>
    </row>
    <row r="28" spans="1:12" ht="30" x14ac:dyDescent="0.25">
      <c r="A28" s="118" t="str">
        <v>4c1</v>
      </c>
      <c r="B28" s="49" t="str">
        <v>Advies: Volledige vervanging naar natuurlijke middelen: DPS: met CO2</v>
      </c>
      <c r="C28" s="49">
        <v>0</v>
      </c>
      <c r="D28" s="49" t="str">
        <v/>
      </c>
      <c r="E28" s="50" t="str">
        <v>niet relevant</v>
      </c>
      <c r="F28" s="50" t="str">
        <v/>
      </c>
      <c r="G28" s="50" t="str">
        <v/>
      </c>
      <c r="H28" s="50" t="str">
        <v/>
      </c>
      <c r="I28" s="50" t="str">
        <v/>
      </c>
      <c r="J28" s="137" t="str">
        <v/>
      </c>
      <c r="K28" s="137">
        <v>1</v>
      </c>
      <c r="L28" s="137">
        <v>1</v>
      </c>
    </row>
    <row r="29" spans="1:12" ht="30" x14ac:dyDescent="0.25">
      <c r="A29" s="118" t="str">
        <v>4c2</v>
      </c>
      <c r="B29" s="49" t="str">
        <v>Advies: Volledige vervanging naar natuurlijke middelen: DPS: zonder CO2</v>
      </c>
      <c r="C29" s="49">
        <v>0</v>
      </c>
      <c r="D29" s="49" t="str">
        <v/>
      </c>
      <c r="E29" s="50" t="str">
        <v>niet relevant</v>
      </c>
      <c r="F29" s="50" t="str">
        <v/>
      </c>
      <c r="G29" s="50" t="str">
        <v/>
      </c>
      <c r="H29" s="50" t="str">
        <v/>
      </c>
      <c r="I29" s="50" t="str">
        <v/>
      </c>
      <c r="J29" s="137" t="str">
        <v/>
      </c>
      <c r="K29" s="137" t="str">
        <v/>
      </c>
      <c r="L29" s="137">
        <v>1</v>
      </c>
    </row>
    <row r="30" spans="1:12" ht="30" x14ac:dyDescent="0.25">
      <c r="A30" s="118" t="str">
        <v>4d1</v>
      </c>
      <c r="B30" s="49" t="str">
        <v>Advies: Volledige vervanging naar natuurlijke middelen: IDPS: met CO2</v>
      </c>
      <c r="C30" s="49">
        <v>0</v>
      </c>
      <c r="D30" s="49" t="b">
        <v>0</v>
      </c>
      <c r="E30" s="50" t="str">
        <v>niet relevant</v>
      </c>
      <c r="F30" s="50" t="str">
        <v/>
      </c>
      <c r="G30" s="50" t="str">
        <v/>
      </c>
      <c r="H30" s="50" t="str">
        <v/>
      </c>
      <c r="I30" s="50" t="str">
        <v/>
      </c>
      <c r="J30" s="137">
        <v>1</v>
      </c>
      <c r="K30" s="137">
        <v>1</v>
      </c>
      <c r="L30" s="137">
        <v>1</v>
      </c>
    </row>
    <row r="31" spans="1:12" ht="30" x14ac:dyDescent="0.25">
      <c r="A31" s="118" t="str">
        <v>4d2</v>
      </c>
      <c r="B31" s="49" t="str">
        <v>Advies: Volledige vervanging naar natuurlijke middelen: IDPS: zonder CO2</v>
      </c>
      <c r="C31" s="49">
        <v>0</v>
      </c>
      <c r="D31" s="49" t="b">
        <v>0</v>
      </c>
      <c r="E31" s="50" t="str">
        <v>niet relevant</v>
      </c>
      <c r="F31" s="50" t="str">
        <v/>
      </c>
      <c r="G31" s="50" t="str">
        <v/>
      </c>
      <c r="H31" s="50" t="str">
        <v/>
      </c>
      <c r="I31" s="50" t="str">
        <v/>
      </c>
      <c r="J31" s="137">
        <v>1</v>
      </c>
      <c r="K31" s="137" t="str">
        <v/>
      </c>
      <c r="L31" s="137">
        <v>1</v>
      </c>
    </row>
    <row r="32" spans="1:12" ht="30" x14ac:dyDescent="0.25">
      <c r="A32" s="118">
        <v>5</v>
      </c>
      <c r="B32" s="49" t="str">
        <v>Advies: Behoud van huidige systeem, na 2030 gebruik maken van gerecycled koudemiddel, let op de opkomende PFAS wetgeving.</v>
      </c>
      <c r="C32" s="49">
        <v>0</v>
      </c>
      <c r="D32" s="49" t="str">
        <v>zelfde systeem</v>
      </c>
      <c r="E32" s="50" t="str">
        <v>niet relevant</v>
      </c>
      <c r="F32" s="50" t="str">
        <v/>
      </c>
      <c r="G32" s="50" t="str">
        <v/>
      </c>
      <c r="H32" s="50" t="str">
        <v/>
      </c>
      <c r="I32" s="50" t="str">
        <v/>
      </c>
      <c r="J32" s="137" t="str">
        <v/>
      </c>
      <c r="K32" s="137" t="str">
        <v/>
      </c>
      <c r="L32" s="137" t="str">
        <v/>
      </c>
    </row>
    <row r="33" spans="1:3" x14ac:dyDescent="0.25">
      <c r="A33" s="118"/>
    </row>
    <row r="34" spans="1:3" x14ac:dyDescent="0.25">
      <c r="B34" s="50"/>
      <c r="C34" s="50"/>
    </row>
  </sheetData>
  <sheetProtection algorithmName="SHA-512" hashValue="BeJVavN3I222PImQowUai/33RXHGNZhg71qF71Mi1a01ZVOwRifsVaYjibNbaBGO1qrX+LrCb7rHBBKoLAAApQ==" saltValue="H5qVQwoJEo+KWXNmlIISMQ==" spinCount="100000" sheet="1" objects="1" scenarios="1"/>
  <mergeCells count="5">
    <mergeCell ref="A18:B18"/>
    <mergeCell ref="F18:I18"/>
    <mergeCell ref="J18:L18"/>
    <mergeCell ref="F17:L17"/>
    <mergeCell ref="B3:C3"/>
  </mergeCells>
  <hyperlinks>
    <hyperlink ref="F4" r:id="rId1" location="681358219" xr:uid="{219E13A3-AEC8-43BC-957C-5CEE31A217DD}"/>
    <hyperlink ref="F7" r:id="rId2" xr:uid="{076A94FE-DFB0-4DD5-871C-CCE8A13C64D4}"/>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8136A-0282-4B70-B43A-ADD7EA1B2A45}">
  <sheetPr codeName="Sheet7">
    <pageSetUpPr autoPageBreaks="0"/>
  </sheetPr>
  <dimension ref="A1:R37"/>
  <sheetViews>
    <sheetView zoomScale="90" zoomScaleNormal="90" zoomScaleSheetLayoutView="100" workbookViewId="0">
      <selection activeCell="T18" sqref="T18"/>
    </sheetView>
  </sheetViews>
  <sheetFormatPr defaultColWidth="8.85546875" defaultRowHeight="15" x14ac:dyDescent="0.25"/>
  <cols>
    <col min="1" max="1" width="26.85546875" style="49" bestFit="1" customWidth="1"/>
    <col min="2" max="2" width="28.140625" style="49" customWidth="1"/>
    <col min="3" max="3" width="10.42578125" style="49" bestFit="1" customWidth="1"/>
    <col min="4" max="4" width="9.140625" style="49" bestFit="1" customWidth="1"/>
    <col min="5" max="5" width="21.5703125" style="50" bestFit="1" customWidth="1"/>
    <col min="6" max="7" width="14.85546875" style="50" customWidth="1"/>
    <col min="8" max="8" width="9.85546875" style="50" customWidth="1"/>
    <col min="9" max="9" width="10.140625" style="50" customWidth="1"/>
    <col min="10" max="10" width="8.42578125" style="50" customWidth="1"/>
    <col min="11" max="11" width="8" style="50" customWidth="1"/>
    <col min="12" max="12" width="9.7109375" style="50" customWidth="1"/>
    <col min="13" max="13" width="6.42578125" style="50" customWidth="1"/>
    <col min="14" max="14" width="8.85546875" style="50"/>
    <col min="15" max="16" width="5.28515625" style="50" bestFit="1" customWidth="1"/>
    <col min="17" max="17" width="4.5703125" style="50" bestFit="1" customWidth="1"/>
    <col min="18" max="18" width="20.85546875" style="50" customWidth="1"/>
    <col min="19" max="16384" width="8.85546875" style="50"/>
  </cols>
  <sheetData>
    <row r="1" spans="1:18" ht="15.75" thickBot="1" x14ac:dyDescent="0.3">
      <c r="A1" s="88"/>
      <c r="B1" s="88"/>
      <c r="C1" s="88"/>
      <c r="D1" s="88"/>
      <c r="E1" s="89"/>
      <c r="F1" s="89"/>
      <c r="G1" s="89"/>
      <c r="H1" s="89"/>
      <c r="I1" s="89"/>
      <c r="J1" s="89"/>
      <c r="K1" s="89"/>
      <c r="L1" s="89"/>
      <c r="M1" s="89"/>
      <c r="N1" s="89"/>
      <c r="O1" s="89"/>
      <c r="P1" s="89"/>
    </row>
    <row r="2" spans="1:18" ht="15.75" thickBot="1" x14ac:dyDescent="0.3">
      <c r="A2" s="235" t="s">
        <v>144</v>
      </c>
      <c r="B2" s="236"/>
      <c r="C2" s="59"/>
      <c r="D2" s="60"/>
      <c r="E2" s="132" t="s">
        <v>145</v>
      </c>
      <c r="F2" s="250" t="s">
        <v>146</v>
      </c>
      <c r="G2" s="251"/>
      <c r="H2" s="239" t="s">
        <v>147</v>
      </c>
      <c r="I2" s="240"/>
      <c r="J2" s="240"/>
      <c r="K2" s="240"/>
      <c r="L2" s="240"/>
      <c r="M2" s="240"/>
      <c r="N2" s="240"/>
      <c r="O2" s="240"/>
      <c r="P2" s="241"/>
    </row>
    <row r="3" spans="1:18" ht="29.45" customHeight="1" thickBot="1" x14ac:dyDescent="0.3">
      <c r="A3" s="237"/>
      <c r="B3" s="238"/>
      <c r="C3" s="63"/>
      <c r="D3" s="64"/>
      <c r="E3" s="242" t="s">
        <v>156</v>
      </c>
      <c r="F3" s="244" t="s">
        <v>157</v>
      </c>
      <c r="G3" s="244" t="s">
        <v>158</v>
      </c>
      <c r="H3" s="246" t="s">
        <v>148</v>
      </c>
      <c r="I3" s="247"/>
      <c r="J3" s="246" t="s">
        <v>248</v>
      </c>
      <c r="K3" s="247"/>
      <c r="L3" s="246" t="s">
        <v>150</v>
      </c>
      <c r="M3" s="247"/>
      <c r="N3" s="246" t="s">
        <v>151</v>
      </c>
      <c r="O3" s="248"/>
      <c r="P3" s="249"/>
      <c r="R3" s="213" t="s">
        <v>364</v>
      </c>
    </row>
    <row r="4" spans="1:18" s="49" customFormat="1" ht="88.15" customHeight="1" thickBot="1" x14ac:dyDescent="0.3">
      <c r="A4" s="115" t="s">
        <v>152</v>
      </c>
      <c r="B4" s="116" t="s">
        <v>153</v>
      </c>
      <c r="C4" s="68"/>
      <c r="D4" s="68" t="s">
        <v>154</v>
      </c>
      <c r="E4" s="243"/>
      <c r="F4" s="245"/>
      <c r="G4" s="245"/>
      <c r="H4" s="123" t="s">
        <v>102</v>
      </c>
      <c r="I4" s="124" t="s">
        <v>103</v>
      </c>
      <c r="J4" s="125" t="s">
        <v>103</v>
      </c>
      <c r="K4" s="126" t="s">
        <v>104</v>
      </c>
      <c r="L4" s="124" t="s">
        <v>102</v>
      </c>
      <c r="M4" s="124" t="s">
        <v>104</v>
      </c>
      <c r="N4" s="126" t="s">
        <v>102</v>
      </c>
      <c r="O4" s="126" t="s">
        <v>103</v>
      </c>
      <c r="P4" s="127" t="s">
        <v>104</v>
      </c>
      <c r="R4" s="214"/>
    </row>
    <row r="5" spans="1:18" ht="14.45" customHeight="1" x14ac:dyDescent="0.25">
      <c r="A5" s="74" t="s">
        <v>159</v>
      </c>
      <c r="B5" s="75" t="s">
        <v>160</v>
      </c>
      <c r="C5" s="43" t="s">
        <v>161</v>
      </c>
      <c r="D5" s="44">
        <v>0.6</v>
      </c>
      <c r="E5" s="121">
        <v>30</v>
      </c>
      <c r="F5" s="224" t="s">
        <v>162</v>
      </c>
      <c r="G5" s="122">
        <v>30</v>
      </c>
      <c r="H5" s="128">
        <v>110</v>
      </c>
      <c r="I5" s="128">
        <v>135</v>
      </c>
      <c r="J5" s="216" t="s">
        <v>162</v>
      </c>
      <c r="K5" s="216" t="s">
        <v>162</v>
      </c>
      <c r="L5" s="216" t="s">
        <v>162</v>
      </c>
      <c r="M5" s="216" t="s">
        <v>162</v>
      </c>
      <c r="N5" s="216" t="s">
        <v>162</v>
      </c>
      <c r="O5" s="216" t="s">
        <v>162</v>
      </c>
      <c r="P5" s="232" t="s">
        <v>162</v>
      </c>
      <c r="R5" s="215"/>
    </row>
    <row r="6" spans="1:18" x14ac:dyDescent="0.25">
      <c r="A6" s="76" t="s">
        <v>163</v>
      </c>
      <c r="B6" s="65"/>
      <c r="C6" s="43" t="s">
        <v>164</v>
      </c>
      <c r="D6" s="44">
        <v>0.25</v>
      </c>
      <c r="E6" s="121">
        <v>105</v>
      </c>
      <c r="F6" s="225"/>
      <c r="G6" s="122">
        <v>100</v>
      </c>
      <c r="H6" s="128">
        <v>100</v>
      </c>
      <c r="I6" s="128">
        <v>106</v>
      </c>
      <c r="J6" s="217"/>
      <c r="K6" s="217"/>
      <c r="L6" s="217"/>
      <c r="M6" s="217"/>
      <c r="N6" s="217"/>
      <c r="O6" s="217"/>
      <c r="P6" s="233"/>
      <c r="R6" s="215"/>
    </row>
    <row r="7" spans="1:18" ht="15" customHeight="1" thickBot="1" x14ac:dyDescent="0.3">
      <c r="A7" s="77"/>
      <c r="B7" s="78"/>
      <c r="C7" s="47" t="s">
        <v>165</v>
      </c>
      <c r="D7" s="48">
        <v>0.15</v>
      </c>
      <c r="E7" s="121">
        <v>110</v>
      </c>
      <c r="F7" s="230"/>
      <c r="G7" s="122">
        <v>108</v>
      </c>
      <c r="H7" s="128">
        <v>108</v>
      </c>
      <c r="I7" s="128">
        <v>125</v>
      </c>
      <c r="J7" s="231"/>
      <c r="K7" s="231"/>
      <c r="L7" s="231"/>
      <c r="M7" s="231"/>
      <c r="N7" s="231"/>
      <c r="O7" s="231"/>
      <c r="P7" s="234"/>
      <c r="R7" s="215"/>
    </row>
    <row r="8" spans="1:18" ht="30" x14ac:dyDescent="0.25">
      <c r="A8" s="74" t="s">
        <v>166</v>
      </c>
      <c r="B8" s="75" t="s">
        <v>167</v>
      </c>
      <c r="C8" s="43" t="s">
        <v>161</v>
      </c>
      <c r="D8" s="44">
        <v>0.63</v>
      </c>
      <c r="E8" s="121">
        <v>30</v>
      </c>
      <c r="F8" s="122">
        <v>70</v>
      </c>
      <c r="G8" s="122">
        <v>30</v>
      </c>
      <c r="H8" s="128">
        <v>110</v>
      </c>
      <c r="I8" s="128">
        <v>132</v>
      </c>
      <c r="J8" s="128">
        <v>155</v>
      </c>
      <c r="K8" s="128">
        <v>185</v>
      </c>
      <c r="L8" s="128">
        <v>145</v>
      </c>
      <c r="M8" s="128">
        <v>165</v>
      </c>
      <c r="N8" s="128">
        <v>140</v>
      </c>
      <c r="O8" s="128">
        <v>145</v>
      </c>
      <c r="P8" s="129">
        <v>155</v>
      </c>
      <c r="R8" s="215"/>
    </row>
    <row r="9" spans="1:18" ht="14.45" customHeight="1" x14ac:dyDescent="0.25">
      <c r="A9" s="76" t="s">
        <v>169</v>
      </c>
      <c r="B9" s="65"/>
      <c r="C9" s="43" t="s">
        <v>164</v>
      </c>
      <c r="D9" s="44">
        <v>0.25</v>
      </c>
      <c r="E9" s="121">
        <v>105</v>
      </c>
      <c r="F9" s="122">
        <v>120</v>
      </c>
      <c r="G9" s="122">
        <v>100</v>
      </c>
      <c r="H9" s="128">
        <v>100</v>
      </c>
      <c r="I9" s="128">
        <v>108</v>
      </c>
      <c r="J9" s="128">
        <v>110</v>
      </c>
      <c r="K9" s="128">
        <v>100</v>
      </c>
      <c r="L9" s="128">
        <v>107</v>
      </c>
      <c r="M9" s="128">
        <v>103</v>
      </c>
      <c r="N9" s="128">
        <v>110</v>
      </c>
      <c r="O9" s="128">
        <v>116</v>
      </c>
      <c r="P9" s="129">
        <v>108</v>
      </c>
      <c r="R9" s="215"/>
    </row>
    <row r="10" spans="1:18" ht="30.75" thickBot="1" x14ac:dyDescent="0.3">
      <c r="A10" s="77"/>
      <c r="B10" s="78"/>
      <c r="C10" s="47" t="s">
        <v>165</v>
      </c>
      <c r="D10" s="48">
        <v>0.12</v>
      </c>
      <c r="E10" s="121">
        <v>110</v>
      </c>
      <c r="F10" s="122">
        <v>105</v>
      </c>
      <c r="G10" s="122">
        <v>108</v>
      </c>
      <c r="H10" s="128">
        <v>108</v>
      </c>
      <c r="I10" s="128">
        <v>110</v>
      </c>
      <c r="J10" s="128">
        <v>110</v>
      </c>
      <c r="K10" s="128">
        <v>108</v>
      </c>
      <c r="L10" s="128">
        <v>109</v>
      </c>
      <c r="M10" s="128">
        <v>108</v>
      </c>
      <c r="N10" s="128">
        <v>120</v>
      </c>
      <c r="O10" s="128">
        <v>123</v>
      </c>
      <c r="P10" s="129">
        <v>122</v>
      </c>
      <c r="R10" s="215"/>
    </row>
    <row r="11" spans="1:18" ht="14.45" customHeight="1" x14ac:dyDescent="0.25">
      <c r="A11" s="74" t="s">
        <v>170</v>
      </c>
      <c r="B11" s="75" t="s">
        <v>171</v>
      </c>
      <c r="C11" s="43" t="s">
        <v>161</v>
      </c>
      <c r="D11" s="44">
        <v>0.63</v>
      </c>
      <c r="E11" s="227" t="s">
        <v>162</v>
      </c>
      <c r="F11" s="224" t="s">
        <v>162</v>
      </c>
      <c r="G11" s="224" t="s">
        <v>162</v>
      </c>
      <c r="H11" s="216" t="s">
        <v>162</v>
      </c>
      <c r="I11" s="216" t="s">
        <v>162</v>
      </c>
      <c r="J11" s="128">
        <v>145</v>
      </c>
      <c r="K11" s="128">
        <v>160</v>
      </c>
      <c r="L11" s="128">
        <v>140</v>
      </c>
      <c r="M11" s="128">
        <v>155</v>
      </c>
      <c r="N11" s="128">
        <v>140</v>
      </c>
      <c r="O11" s="128">
        <v>145</v>
      </c>
      <c r="P11" s="129">
        <v>155</v>
      </c>
      <c r="R11" s="215"/>
    </row>
    <row r="12" spans="1:18" x14ac:dyDescent="0.25">
      <c r="A12" s="76" t="s">
        <v>172</v>
      </c>
      <c r="B12" s="65"/>
      <c r="C12" s="43" t="s">
        <v>164</v>
      </c>
      <c r="D12" s="44">
        <v>0.27</v>
      </c>
      <c r="E12" s="228"/>
      <c r="F12" s="225"/>
      <c r="G12" s="225"/>
      <c r="H12" s="217"/>
      <c r="I12" s="217"/>
      <c r="J12" s="128">
        <v>116</v>
      </c>
      <c r="K12" s="128">
        <v>100</v>
      </c>
      <c r="L12" s="128">
        <v>107</v>
      </c>
      <c r="M12" s="128">
        <v>103</v>
      </c>
      <c r="N12" s="128">
        <v>110</v>
      </c>
      <c r="O12" s="128">
        <v>116</v>
      </c>
      <c r="P12" s="129">
        <v>108</v>
      </c>
      <c r="R12" s="215"/>
    </row>
    <row r="13" spans="1:18" ht="30.75" thickBot="1" x14ac:dyDescent="0.3">
      <c r="A13" s="77"/>
      <c r="B13" s="78"/>
      <c r="C13" s="47" t="s">
        <v>165</v>
      </c>
      <c r="D13" s="48">
        <v>0.1</v>
      </c>
      <c r="E13" s="229"/>
      <c r="F13" s="230"/>
      <c r="G13" s="230"/>
      <c r="H13" s="231"/>
      <c r="I13" s="231"/>
      <c r="J13" s="128">
        <v>123</v>
      </c>
      <c r="K13" s="128">
        <v>108</v>
      </c>
      <c r="L13" s="128">
        <v>109</v>
      </c>
      <c r="M13" s="128">
        <v>108</v>
      </c>
      <c r="N13" s="128">
        <v>120</v>
      </c>
      <c r="O13" s="128">
        <v>123</v>
      </c>
      <c r="P13" s="129">
        <v>122</v>
      </c>
    </row>
    <row r="14" spans="1:18" ht="30" x14ac:dyDescent="0.25">
      <c r="A14" s="74" t="s">
        <v>173</v>
      </c>
      <c r="B14" s="75" t="s">
        <v>171</v>
      </c>
      <c r="C14" s="43" t="s">
        <v>161</v>
      </c>
      <c r="D14" s="44">
        <v>0.63</v>
      </c>
      <c r="E14" s="227" t="s">
        <v>162</v>
      </c>
      <c r="F14" s="224" t="s">
        <v>162</v>
      </c>
      <c r="G14" s="224" t="s">
        <v>162</v>
      </c>
      <c r="H14" s="216" t="s">
        <v>162</v>
      </c>
      <c r="I14" s="216" t="s">
        <v>162</v>
      </c>
      <c r="J14" s="128">
        <v>145</v>
      </c>
      <c r="K14" s="128">
        <v>155</v>
      </c>
      <c r="L14" s="128">
        <v>135</v>
      </c>
      <c r="M14" s="128">
        <v>150</v>
      </c>
      <c r="N14" s="128">
        <v>140</v>
      </c>
      <c r="O14" s="128">
        <v>145</v>
      </c>
      <c r="P14" s="129">
        <v>155</v>
      </c>
    </row>
    <row r="15" spans="1:18" x14ac:dyDescent="0.25">
      <c r="A15" s="76" t="s">
        <v>174</v>
      </c>
      <c r="B15" s="65"/>
      <c r="C15" s="43" t="s">
        <v>164</v>
      </c>
      <c r="D15" s="44">
        <v>0.27</v>
      </c>
      <c r="E15" s="228"/>
      <c r="F15" s="225"/>
      <c r="G15" s="225"/>
      <c r="H15" s="217"/>
      <c r="I15" s="217"/>
      <c r="J15" s="128">
        <v>116</v>
      </c>
      <c r="K15" s="128">
        <v>100</v>
      </c>
      <c r="L15" s="128">
        <v>107</v>
      </c>
      <c r="M15" s="128">
        <v>103</v>
      </c>
      <c r="N15" s="128">
        <v>110</v>
      </c>
      <c r="O15" s="128">
        <v>116</v>
      </c>
      <c r="P15" s="129">
        <v>108</v>
      </c>
    </row>
    <row r="16" spans="1:18" ht="30.75" thickBot="1" x14ac:dyDescent="0.3">
      <c r="A16" s="77"/>
      <c r="B16" s="78"/>
      <c r="C16" s="47" t="s">
        <v>165</v>
      </c>
      <c r="D16" s="48">
        <v>0.1</v>
      </c>
      <c r="E16" s="229"/>
      <c r="F16" s="230"/>
      <c r="G16" s="230"/>
      <c r="H16" s="231"/>
      <c r="I16" s="231"/>
      <c r="J16" s="128">
        <v>123</v>
      </c>
      <c r="K16" s="128">
        <v>108</v>
      </c>
      <c r="L16" s="128">
        <v>109</v>
      </c>
      <c r="M16" s="128">
        <v>108</v>
      </c>
      <c r="N16" s="128">
        <v>120</v>
      </c>
      <c r="O16" s="128">
        <v>123</v>
      </c>
      <c r="P16" s="129">
        <v>122</v>
      </c>
    </row>
    <row r="17" spans="1:16" ht="30" x14ac:dyDescent="0.25">
      <c r="A17" s="74" t="s">
        <v>175</v>
      </c>
      <c r="B17" s="75" t="s">
        <v>176</v>
      </c>
      <c r="C17" s="43" t="s">
        <v>161</v>
      </c>
      <c r="D17" s="44">
        <v>0.63</v>
      </c>
      <c r="E17" s="121">
        <v>30</v>
      </c>
      <c r="F17" s="224" t="s">
        <v>162</v>
      </c>
      <c r="G17" s="224" t="s">
        <v>162</v>
      </c>
      <c r="H17" s="216" t="s">
        <v>162</v>
      </c>
      <c r="I17" s="216" t="s">
        <v>162</v>
      </c>
      <c r="J17" s="216" t="s">
        <v>162</v>
      </c>
      <c r="K17" s="216" t="s">
        <v>162</v>
      </c>
      <c r="L17" s="128">
        <v>140</v>
      </c>
      <c r="M17" s="128">
        <v>155</v>
      </c>
      <c r="N17" s="128">
        <v>140</v>
      </c>
      <c r="O17" s="128">
        <v>145</v>
      </c>
      <c r="P17" s="129">
        <v>155</v>
      </c>
    </row>
    <row r="18" spans="1:16" x14ac:dyDescent="0.25">
      <c r="A18" s="76" t="s">
        <v>174</v>
      </c>
      <c r="B18" s="65"/>
      <c r="C18" s="43" t="s">
        <v>164</v>
      </c>
      <c r="D18" s="44">
        <v>0.27</v>
      </c>
      <c r="E18" s="121">
        <v>105</v>
      </c>
      <c r="F18" s="225"/>
      <c r="G18" s="225"/>
      <c r="H18" s="217"/>
      <c r="I18" s="217"/>
      <c r="J18" s="217"/>
      <c r="K18" s="217"/>
      <c r="L18" s="128">
        <v>107</v>
      </c>
      <c r="M18" s="128">
        <v>103</v>
      </c>
      <c r="N18" s="128">
        <v>110</v>
      </c>
      <c r="O18" s="128">
        <v>116</v>
      </c>
      <c r="P18" s="129">
        <v>108</v>
      </c>
    </row>
    <row r="19" spans="1:16" ht="30.75" thickBot="1" x14ac:dyDescent="0.3">
      <c r="A19" s="77"/>
      <c r="B19" s="78"/>
      <c r="C19" s="47" t="s">
        <v>165</v>
      </c>
      <c r="D19" s="48">
        <v>0.1</v>
      </c>
      <c r="E19" s="146">
        <v>110</v>
      </c>
      <c r="F19" s="226"/>
      <c r="G19" s="226"/>
      <c r="H19" s="218"/>
      <c r="I19" s="218"/>
      <c r="J19" s="218"/>
      <c r="K19" s="218"/>
      <c r="L19" s="130">
        <v>109</v>
      </c>
      <c r="M19" s="130">
        <v>108</v>
      </c>
      <c r="N19" s="130">
        <v>120</v>
      </c>
      <c r="O19" s="130">
        <v>123</v>
      </c>
      <c r="P19" s="131">
        <v>122</v>
      </c>
    </row>
    <row r="20" spans="1:16" ht="3.6" customHeight="1" x14ac:dyDescent="0.25"/>
    <row r="21" spans="1:16" ht="16.149999999999999" customHeight="1" x14ac:dyDescent="0.25"/>
    <row r="22" spans="1:16" ht="21" x14ac:dyDescent="0.25">
      <c r="A22" s="220" t="s">
        <v>199</v>
      </c>
      <c r="B22" s="220"/>
      <c r="C22" s="220"/>
      <c r="D22" s="220"/>
      <c r="E22" s="220"/>
      <c r="F22" s="220"/>
      <c r="G22" s="220"/>
      <c r="H22" s="220"/>
      <c r="I22" s="220"/>
    </row>
    <row r="23" spans="1:16" x14ac:dyDescent="0.25">
      <c r="A23" s="221" t="s">
        <v>181</v>
      </c>
      <c r="B23" s="80"/>
      <c r="C23" s="219" t="s">
        <v>182</v>
      </c>
      <c r="D23" s="219"/>
      <c r="E23" s="219"/>
      <c r="F23" s="219"/>
      <c r="G23" s="219"/>
      <c r="H23" s="219"/>
      <c r="I23" s="219"/>
    </row>
    <row r="24" spans="1:16" ht="39.6" customHeight="1" x14ac:dyDescent="0.25">
      <c r="A24" s="222"/>
      <c r="B24" s="80"/>
      <c r="C24" s="219" t="s">
        <v>183</v>
      </c>
      <c r="D24" s="219"/>
      <c r="E24" s="219"/>
      <c r="F24" s="219"/>
      <c r="G24" s="219"/>
      <c r="H24" s="219"/>
      <c r="I24" s="219"/>
    </row>
    <row r="25" spans="1:16" ht="28.15" customHeight="1" x14ac:dyDescent="0.25">
      <c r="A25" s="223"/>
      <c r="B25" s="80"/>
      <c r="C25" s="219" t="s">
        <v>184</v>
      </c>
      <c r="D25" s="219"/>
      <c r="E25" s="219"/>
      <c r="F25" s="219"/>
      <c r="G25" s="219"/>
      <c r="H25" s="219"/>
      <c r="I25" s="219"/>
    </row>
    <row r="26" spans="1:16" ht="31.9" customHeight="1" x14ac:dyDescent="0.25">
      <c r="A26" s="79" t="s">
        <v>161</v>
      </c>
      <c r="B26" s="80"/>
      <c r="C26" s="219" t="s">
        <v>185</v>
      </c>
      <c r="D26" s="219"/>
      <c r="E26" s="219"/>
      <c r="F26" s="219"/>
      <c r="G26" s="219"/>
      <c r="H26" s="219"/>
      <c r="I26" s="219"/>
    </row>
    <row r="27" spans="1:16" ht="28.15" customHeight="1" x14ac:dyDescent="0.25">
      <c r="A27" s="221" t="s">
        <v>186</v>
      </c>
      <c r="B27" s="80"/>
      <c r="C27" s="219" t="s">
        <v>187</v>
      </c>
      <c r="D27" s="219"/>
      <c r="E27" s="219"/>
      <c r="F27" s="219"/>
      <c r="G27" s="219"/>
      <c r="H27" s="219"/>
      <c r="I27" s="219"/>
    </row>
    <row r="28" spans="1:16" x14ac:dyDescent="0.25">
      <c r="A28" s="222"/>
      <c r="B28" s="80"/>
      <c r="C28" s="219" t="s">
        <v>188</v>
      </c>
      <c r="D28" s="219"/>
      <c r="E28" s="219"/>
      <c r="F28" s="219"/>
      <c r="G28" s="219"/>
      <c r="H28" s="219"/>
      <c r="I28" s="219"/>
    </row>
    <row r="29" spans="1:16" x14ac:dyDescent="0.25">
      <c r="A29" s="222"/>
      <c r="B29" s="80"/>
      <c r="C29" s="219" t="s">
        <v>189</v>
      </c>
      <c r="D29" s="219"/>
      <c r="E29" s="219"/>
      <c r="F29" s="219"/>
      <c r="G29" s="219"/>
      <c r="H29" s="219"/>
      <c r="I29" s="219"/>
    </row>
    <row r="30" spans="1:16" x14ac:dyDescent="0.25">
      <c r="A30" s="222"/>
      <c r="B30" s="80"/>
      <c r="C30" s="219" t="s">
        <v>190</v>
      </c>
      <c r="D30" s="219"/>
      <c r="E30" s="219"/>
      <c r="F30" s="219"/>
      <c r="G30" s="219"/>
      <c r="H30" s="219"/>
      <c r="I30" s="219"/>
    </row>
    <row r="31" spans="1:16" x14ac:dyDescent="0.25">
      <c r="A31" s="223"/>
      <c r="B31" s="80"/>
      <c r="C31" s="219" t="s">
        <v>191</v>
      </c>
      <c r="D31" s="219"/>
      <c r="E31" s="219"/>
      <c r="F31" s="219"/>
      <c r="G31" s="219"/>
      <c r="H31" s="219"/>
      <c r="I31" s="219"/>
    </row>
    <row r="32" spans="1:16" x14ac:dyDescent="0.25">
      <c r="A32" s="221" t="s">
        <v>192</v>
      </c>
      <c r="B32" s="80"/>
      <c r="C32" s="219" t="s">
        <v>193</v>
      </c>
      <c r="D32" s="219"/>
      <c r="E32" s="219"/>
      <c r="F32" s="219"/>
      <c r="G32" s="219"/>
      <c r="H32" s="219"/>
      <c r="I32" s="219"/>
    </row>
    <row r="33" spans="1:9" x14ac:dyDescent="0.25">
      <c r="A33" s="222"/>
      <c r="B33" s="80"/>
      <c r="C33" s="219" t="s">
        <v>194</v>
      </c>
      <c r="D33" s="219"/>
      <c r="E33" s="219"/>
      <c r="F33" s="219"/>
      <c r="G33" s="219"/>
      <c r="H33" s="219"/>
      <c r="I33" s="219"/>
    </row>
    <row r="34" spans="1:9" x14ac:dyDescent="0.25">
      <c r="A34" s="222"/>
      <c r="B34" s="80"/>
      <c r="C34" s="219" t="s">
        <v>195</v>
      </c>
      <c r="D34" s="219"/>
      <c r="E34" s="219"/>
      <c r="F34" s="219"/>
      <c r="G34" s="219"/>
      <c r="H34" s="219"/>
      <c r="I34" s="219"/>
    </row>
    <row r="35" spans="1:9" x14ac:dyDescent="0.25">
      <c r="A35" s="222"/>
      <c r="B35" s="80"/>
      <c r="C35" s="219" t="s">
        <v>196</v>
      </c>
      <c r="D35" s="219"/>
      <c r="E35" s="219"/>
      <c r="F35" s="219"/>
      <c r="G35" s="219"/>
      <c r="H35" s="219"/>
      <c r="I35" s="219"/>
    </row>
    <row r="36" spans="1:9" x14ac:dyDescent="0.25">
      <c r="A36" s="222"/>
      <c r="B36" s="80"/>
      <c r="C36" s="219" t="s">
        <v>197</v>
      </c>
      <c r="D36" s="219"/>
      <c r="E36" s="219"/>
      <c r="F36" s="219"/>
      <c r="G36" s="219"/>
      <c r="H36" s="219"/>
      <c r="I36" s="219"/>
    </row>
    <row r="37" spans="1:9" x14ac:dyDescent="0.25">
      <c r="A37" s="223"/>
      <c r="B37" s="80"/>
      <c r="C37" s="219" t="s">
        <v>198</v>
      </c>
      <c r="D37" s="219"/>
      <c r="E37" s="219"/>
      <c r="F37" s="219"/>
      <c r="G37" s="219"/>
      <c r="H37" s="219"/>
      <c r="I37" s="219"/>
    </row>
  </sheetData>
  <sheetProtection algorithmName="SHA-512" hashValue="cL7MzLLwYzO7R0NbmRyzwu8GoZLIgR/kiHdfh95c6mXW8y8CqC/zl3I4zhJLOXk5pQYh2W6W3box3fgkTSO2MQ==" saltValue="WGbmsSgUFAfYFpZlGAkKrg==" spinCount="100000" sheet="1" objects="1" scenarios="1"/>
  <mergeCells count="58">
    <mergeCell ref="A2:B3"/>
    <mergeCell ref="H2:P2"/>
    <mergeCell ref="E3:E4"/>
    <mergeCell ref="F3:F4"/>
    <mergeCell ref="G3:G4"/>
    <mergeCell ref="H3:I3"/>
    <mergeCell ref="J3:K3"/>
    <mergeCell ref="L3:M3"/>
    <mergeCell ref="N3:P3"/>
    <mergeCell ref="F2:G2"/>
    <mergeCell ref="N5:N7"/>
    <mergeCell ref="O5:O7"/>
    <mergeCell ref="P5:P7"/>
    <mergeCell ref="E11:E13"/>
    <mergeCell ref="F11:F13"/>
    <mergeCell ref="G11:G13"/>
    <mergeCell ref="H11:H13"/>
    <mergeCell ref="F5:F7"/>
    <mergeCell ref="J5:J7"/>
    <mergeCell ref="K5:K7"/>
    <mergeCell ref="L5:L7"/>
    <mergeCell ref="M5:M7"/>
    <mergeCell ref="I11:I13"/>
    <mergeCell ref="E14:E16"/>
    <mergeCell ref="F14:F16"/>
    <mergeCell ref="G14:G16"/>
    <mergeCell ref="H14:H16"/>
    <mergeCell ref="I14:I16"/>
    <mergeCell ref="C28:I28"/>
    <mergeCell ref="C29:I29"/>
    <mergeCell ref="C30:I30"/>
    <mergeCell ref="F17:F19"/>
    <mergeCell ref="G17:G19"/>
    <mergeCell ref="H17:H19"/>
    <mergeCell ref="C23:I23"/>
    <mergeCell ref="C24:I24"/>
    <mergeCell ref="I17:I19"/>
    <mergeCell ref="J17:J19"/>
    <mergeCell ref="K17:K19"/>
    <mergeCell ref="C37:I37"/>
    <mergeCell ref="A22:I22"/>
    <mergeCell ref="A32:A37"/>
    <mergeCell ref="A27:A31"/>
    <mergeCell ref="A23:A25"/>
    <mergeCell ref="C31:I31"/>
    <mergeCell ref="C32:I32"/>
    <mergeCell ref="C33:I33"/>
    <mergeCell ref="C34:I34"/>
    <mergeCell ref="C35:I35"/>
    <mergeCell ref="C36:I36"/>
    <mergeCell ref="C25:I25"/>
    <mergeCell ref="C26:I26"/>
    <mergeCell ref="C27:I27"/>
    <mergeCell ref="R3:R4"/>
    <mergeCell ref="R5:R6"/>
    <mergeCell ref="R7:R8"/>
    <mergeCell ref="R9:R10"/>
    <mergeCell ref="R11:R12"/>
  </mergeCells>
  <pageMargins left="0.7" right="0.7" top="0.75" bottom="0.75"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8" id="{3AB26C84-F5A7-4410-B2A2-20983CA162E8}">
            <xm:f>Sheet1!$E$3=1</xm:f>
            <x14:dxf>
              <font>
                <strike val="0"/>
              </font>
              <fill>
                <patternFill>
                  <bgColor theme="5" tint="0.79998168889431442"/>
                </patternFill>
              </fill>
            </x14:dxf>
          </x14:cfRule>
          <xm:sqref>E5:E7</xm:sqref>
        </x14:conditionalFormatting>
        <x14:conditionalFormatting xmlns:xm="http://schemas.microsoft.com/office/excel/2006/main">
          <x14:cfRule type="expression" priority="37" id="{96ADA709-EC92-45F1-86EA-5E783EE640C1}">
            <xm:f>Sheet1!$E$4=1</xm:f>
            <x14:dxf>
              <fill>
                <patternFill>
                  <bgColor theme="5" tint="0.79998168889431442"/>
                </patternFill>
              </fill>
            </x14:dxf>
          </x14:cfRule>
          <xm:sqref>E8:E10</xm:sqref>
        </x14:conditionalFormatting>
        <x14:conditionalFormatting xmlns:xm="http://schemas.microsoft.com/office/excel/2006/main">
          <x14:cfRule type="expression" priority="36" id="{FC1CC552-6266-4DF5-A56D-F2A758899929}">
            <xm:f>Sheet1!$E$6=1</xm:f>
            <x14:dxf>
              <fill>
                <patternFill>
                  <bgColor theme="5" tint="0.79998168889431442"/>
                </patternFill>
              </fill>
            </x14:dxf>
          </x14:cfRule>
          <xm:sqref>G5:G7</xm:sqref>
        </x14:conditionalFormatting>
        <x14:conditionalFormatting xmlns:xm="http://schemas.microsoft.com/office/excel/2006/main">
          <x14:cfRule type="expression" priority="35" id="{1A4E7697-03B2-4CAA-BDA4-A344A8B9CDE8}">
            <xm:f>Sheet1!$E$7=1</xm:f>
            <x14:dxf>
              <fill>
                <patternFill>
                  <bgColor theme="5" tint="0.79998168889431442"/>
                </patternFill>
              </fill>
            </x14:dxf>
          </x14:cfRule>
          <xm:sqref>G8:G10</xm:sqref>
        </x14:conditionalFormatting>
        <x14:conditionalFormatting xmlns:xm="http://schemas.microsoft.com/office/excel/2006/main">
          <x14:cfRule type="expression" priority="34" id="{3EC93546-0399-4144-A60E-57D8D141D3F4}">
            <xm:f>Sheet1!$E$8=1</xm:f>
            <x14:dxf>
              <fill>
                <patternFill>
                  <bgColor theme="5" tint="0.79998168889431442"/>
                </patternFill>
              </fill>
            </x14:dxf>
          </x14:cfRule>
          <xm:sqref>H5:H7</xm:sqref>
        </x14:conditionalFormatting>
        <x14:conditionalFormatting xmlns:xm="http://schemas.microsoft.com/office/excel/2006/main">
          <x14:cfRule type="expression" priority="33" id="{B85B552C-0E3D-4E41-A01D-0F58329A8E13}">
            <xm:f>Sheet1!$E$10=1</xm:f>
            <x14:dxf>
              <fill>
                <patternFill>
                  <bgColor theme="5" tint="0.79998168889431442"/>
                </patternFill>
              </fill>
            </x14:dxf>
          </x14:cfRule>
          <xm:sqref>H8:H10</xm:sqref>
        </x14:conditionalFormatting>
        <x14:conditionalFormatting xmlns:xm="http://schemas.microsoft.com/office/excel/2006/main">
          <x14:cfRule type="expression" priority="32" id="{FA423163-98FD-4064-8FF7-4E6BFDB21372}">
            <xm:f>Sheet1!$E$12=1</xm:f>
            <x14:dxf>
              <fill>
                <patternFill>
                  <bgColor theme="5" tint="0.79998168889431442"/>
                </patternFill>
              </fill>
            </x14:dxf>
          </x14:cfRule>
          <xm:sqref>J8:J10</xm:sqref>
        </x14:conditionalFormatting>
        <x14:conditionalFormatting xmlns:xm="http://schemas.microsoft.com/office/excel/2006/main">
          <x14:cfRule type="expression" priority="30" id="{92B7F31E-9D44-4F2B-B20E-2DA2531DC771}">
            <xm:f>Sheet1!$E$5=1</xm:f>
            <x14:dxf>
              <fill>
                <patternFill>
                  <bgColor theme="5" tint="0.79998168889431442"/>
                </patternFill>
              </fill>
            </x14:dxf>
          </x14:cfRule>
          <xm:sqref>F8:F10</xm:sqref>
        </x14:conditionalFormatting>
        <x14:conditionalFormatting xmlns:xm="http://schemas.microsoft.com/office/excel/2006/main">
          <x14:cfRule type="expression" priority="29" id="{26928EE1-561F-43B3-928D-241E59B46EC8}">
            <xm:f>Sheet1!$E$11=1</xm:f>
            <x14:dxf>
              <fill>
                <patternFill>
                  <bgColor theme="5" tint="0.79998168889431442"/>
                </patternFill>
              </fill>
            </x14:dxf>
          </x14:cfRule>
          <xm:sqref>I8:I10</xm:sqref>
        </x14:conditionalFormatting>
        <x14:conditionalFormatting xmlns:xm="http://schemas.microsoft.com/office/excel/2006/main">
          <x14:cfRule type="expression" priority="28" id="{9F45D11A-DCE2-448C-BB13-ECF9A0636AB6}">
            <xm:f>Sheet1!$E$13=1</xm:f>
            <x14:dxf>
              <fill>
                <patternFill>
                  <bgColor theme="5" tint="0.79998168889431442"/>
                </patternFill>
              </fill>
            </x14:dxf>
          </x14:cfRule>
          <xm:sqref>K8:K10</xm:sqref>
        </x14:conditionalFormatting>
        <x14:conditionalFormatting xmlns:xm="http://schemas.microsoft.com/office/excel/2006/main">
          <x14:cfRule type="expression" priority="39" id="{021610CD-52CC-4767-B870-9BB902D97D86}">
            <xm:f>Sheet1!$I$24=1</xm:f>
            <x14:dxf>
              <font>
                <strike val="0"/>
              </font>
              <fill>
                <patternFill>
                  <bgColor theme="5" tint="0.79998168889431442"/>
                </patternFill>
              </fill>
            </x14:dxf>
          </x14:cfRule>
          <xm:sqref>E17:E19</xm:sqref>
        </x14:conditionalFormatting>
        <x14:conditionalFormatting xmlns:xm="http://schemas.microsoft.com/office/excel/2006/main">
          <x14:cfRule type="expression" priority="27" id="{052258DF-2E03-4913-925F-523318103D4E}">
            <xm:f>Sheet1!$E$14=1</xm:f>
            <x14:dxf>
              <fill>
                <patternFill>
                  <bgColor theme="5" tint="0.79998168889431442"/>
                </patternFill>
              </fill>
            </x14:dxf>
          </x14:cfRule>
          <xm:sqref>L8:L10</xm:sqref>
        </x14:conditionalFormatting>
        <x14:conditionalFormatting xmlns:xm="http://schemas.microsoft.com/office/excel/2006/main">
          <x14:cfRule type="expression" priority="26" id="{0071B89C-CDB6-401B-A20C-149AD3436215}">
            <xm:f>Sheet1!$E$15=1</xm:f>
            <x14:dxf>
              <fill>
                <patternFill>
                  <bgColor theme="5" tint="0.79998168889431442"/>
                </patternFill>
              </fill>
            </x14:dxf>
          </x14:cfRule>
          <xm:sqref>M8:M10</xm:sqref>
        </x14:conditionalFormatting>
        <x14:conditionalFormatting xmlns:xm="http://schemas.microsoft.com/office/excel/2006/main">
          <x14:cfRule type="expression" priority="25" id="{50A192DB-7AE4-4351-A0F8-30B95891A733}">
            <xm:f>Sheet1!$E$16=1</xm:f>
            <x14:dxf>
              <fill>
                <patternFill>
                  <bgColor theme="5" tint="0.79998168889431442"/>
                </patternFill>
              </fill>
            </x14:dxf>
          </x14:cfRule>
          <xm:sqref>N8:N10</xm:sqref>
        </x14:conditionalFormatting>
        <x14:conditionalFormatting xmlns:xm="http://schemas.microsoft.com/office/excel/2006/main">
          <x14:cfRule type="expression" priority="24" id="{038BE170-0D6E-403C-BFF0-01EA4E4B5173}">
            <xm:f>Sheet1!$E$17=1</xm:f>
            <x14:dxf>
              <fill>
                <patternFill>
                  <bgColor theme="5" tint="0.79998168889431442"/>
                </patternFill>
              </fill>
            </x14:dxf>
          </x14:cfRule>
          <xm:sqref>O8:O10</xm:sqref>
        </x14:conditionalFormatting>
        <x14:conditionalFormatting xmlns:xm="http://schemas.microsoft.com/office/excel/2006/main">
          <x14:cfRule type="expression" priority="23" id="{B5703680-9540-4778-B00A-2FD3F4DC206C}">
            <xm:f>Sheet1!$E$18=1</xm:f>
            <x14:dxf>
              <fill>
                <patternFill>
                  <bgColor theme="5" tint="0.79998168889431442"/>
                </patternFill>
              </fill>
            </x14:dxf>
          </x14:cfRule>
          <xm:sqref>P8:P10</xm:sqref>
        </x14:conditionalFormatting>
        <x14:conditionalFormatting xmlns:xm="http://schemas.microsoft.com/office/excel/2006/main">
          <x14:cfRule type="expression" priority="22" id="{1A650E6F-89A4-49E1-93F3-3393B05FDE02}">
            <xm:f>Sheet1!$I$3=1</xm:f>
            <x14:dxf>
              <fill>
                <patternFill>
                  <bgColor theme="5" tint="0.79998168889431442"/>
                </patternFill>
              </fill>
            </x14:dxf>
          </x14:cfRule>
          <xm:sqref>J11:J13</xm:sqref>
        </x14:conditionalFormatting>
        <x14:conditionalFormatting xmlns:xm="http://schemas.microsoft.com/office/excel/2006/main">
          <x14:cfRule type="expression" priority="21" id="{681A8D3D-F937-4482-82A0-244048150139}">
            <xm:f>Sheet1!$I$4=1</xm:f>
            <x14:dxf>
              <fill>
                <patternFill>
                  <bgColor theme="5" tint="0.79998168889431442"/>
                </patternFill>
              </fill>
            </x14:dxf>
          </x14:cfRule>
          <xm:sqref>K11:K13</xm:sqref>
        </x14:conditionalFormatting>
        <x14:conditionalFormatting xmlns:xm="http://schemas.microsoft.com/office/excel/2006/main">
          <x14:cfRule type="expression" priority="20" id="{CA9D924E-60B3-46C2-987A-14EF1227629F}">
            <xm:f>Sheet1!$I$5=1</xm:f>
            <x14:dxf>
              <fill>
                <patternFill>
                  <bgColor theme="5" tint="0.79998168889431442"/>
                </patternFill>
              </fill>
            </x14:dxf>
          </x14:cfRule>
          <xm:sqref>L11:L13</xm:sqref>
        </x14:conditionalFormatting>
        <x14:conditionalFormatting xmlns:xm="http://schemas.microsoft.com/office/excel/2006/main">
          <x14:cfRule type="expression" priority="19" id="{D74EAECB-845C-4822-ADBD-1886011E1824}">
            <xm:f>Sheet1!$I$6=1</xm:f>
            <x14:dxf>
              <fill>
                <patternFill>
                  <bgColor theme="5" tint="0.79998168889431442"/>
                </patternFill>
              </fill>
            </x14:dxf>
          </x14:cfRule>
          <xm:sqref>M11:M13</xm:sqref>
        </x14:conditionalFormatting>
        <x14:conditionalFormatting xmlns:xm="http://schemas.microsoft.com/office/excel/2006/main">
          <x14:cfRule type="expression" priority="18" id="{08CD6924-5411-4401-ACE7-F71861FDE042}">
            <xm:f>Sheet1!$I$7=1</xm:f>
            <x14:dxf>
              <fill>
                <patternFill>
                  <bgColor theme="5" tint="0.79998168889431442"/>
                </patternFill>
              </fill>
            </x14:dxf>
          </x14:cfRule>
          <xm:sqref>N11:N13</xm:sqref>
        </x14:conditionalFormatting>
        <x14:conditionalFormatting xmlns:xm="http://schemas.microsoft.com/office/excel/2006/main">
          <x14:cfRule type="expression" priority="17" id="{DBC4423E-EDA0-440C-89B5-7D8C70285DDD}">
            <xm:f>Sheet1!$I$8=1</xm:f>
            <x14:dxf>
              <fill>
                <patternFill>
                  <bgColor theme="5" tint="0.79998168889431442"/>
                </patternFill>
              </fill>
            </x14:dxf>
          </x14:cfRule>
          <xm:sqref>O11:O13</xm:sqref>
        </x14:conditionalFormatting>
        <x14:conditionalFormatting xmlns:xm="http://schemas.microsoft.com/office/excel/2006/main">
          <x14:cfRule type="expression" priority="16" id="{65A43F06-F4AB-4390-A51E-1ED59693D911}">
            <xm:f>Sheet1!$I$9=1</xm:f>
            <x14:dxf>
              <fill>
                <patternFill>
                  <bgColor theme="5" tint="0.79998168889431442"/>
                </patternFill>
              </fill>
            </x14:dxf>
          </x14:cfRule>
          <xm:sqref>P11:P13</xm:sqref>
        </x14:conditionalFormatting>
        <x14:conditionalFormatting xmlns:xm="http://schemas.microsoft.com/office/excel/2006/main">
          <x14:cfRule type="expression" priority="15" id="{E5633398-04A5-40CB-859A-BD71630EA1AB}">
            <xm:f>Sheet1!$I$10=1</xm:f>
            <x14:dxf>
              <fill>
                <patternFill>
                  <bgColor theme="5" tint="0.79998168889431442"/>
                </patternFill>
              </fill>
            </x14:dxf>
          </x14:cfRule>
          <xm:sqref>J14:J16</xm:sqref>
        </x14:conditionalFormatting>
        <x14:conditionalFormatting xmlns:xm="http://schemas.microsoft.com/office/excel/2006/main">
          <x14:cfRule type="expression" priority="14" id="{349DB0FB-E833-446F-8379-301DAF292B0F}">
            <xm:f>Sheet1!$I$11=1</xm:f>
            <x14:dxf>
              <fill>
                <patternFill>
                  <bgColor theme="5" tint="0.79998168889431442"/>
                </patternFill>
              </fill>
            </x14:dxf>
          </x14:cfRule>
          <xm:sqref>K14:K16</xm:sqref>
        </x14:conditionalFormatting>
        <x14:conditionalFormatting xmlns:xm="http://schemas.microsoft.com/office/excel/2006/main">
          <x14:cfRule type="expression" priority="13" id="{17372BB5-FE2C-46D0-8F2F-A6FC815A1CE5}">
            <xm:f>Sheet1!$I$12=1</xm:f>
            <x14:dxf>
              <fill>
                <patternFill>
                  <bgColor theme="5" tint="0.79998168889431442"/>
                </patternFill>
              </fill>
            </x14:dxf>
          </x14:cfRule>
          <xm:sqref>L14:L16</xm:sqref>
        </x14:conditionalFormatting>
        <x14:conditionalFormatting xmlns:xm="http://schemas.microsoft.com/office/excel/2006/main">
          <x14:cfRule type="expression" priority="12" id="{EC58715B-1F3A-4E1E-A49C-9C91A207562C}">
            <xm:f>Sheet1!$I$13=1</xm:f>
            <x14:dxf>
              <fill>
                <patternFill>
                  <bgColor theme="5" tint="0.79998168889431442"/>
                </patternFill>
              </fill>
            </x14:dxf>
          </x14:cfRule>
          <xm:sqref>M14:M16</xm:sqref>
        </x14:conditionalFormatting>
        <x14:conditionalFormatting xmlns:xm="http://schemas.microsoft.com/office/excel/2006/main">
          <x14:cfRule type="expression" priority="11" id="{F20DF3B6-1F8A-4AC8-8E22-9C9553AC448B}">
            <xm:f>Sheet1!$I$14=1</xm:f>
            <x14:dxf>
              <fill>
                <patternFill>
                  <bgColor theme="5" tint="0.79998168889431442"/>
                </patternFill>
              </fill>
            </x14:dxf>
          </x14:cfRule>
          <xm:sqref>N14:N16</xm:sqref>
        </x14:conditionalFormatting>
        <x14:conditionalFormatting xmlns:xm="http://schemas.microsoft.com/office/excel/2006/main">
          <x14:cfRule type="expression" priority="10" id="{30E4FF9C-4E13-4D06-87EB-02CE5CFFF53B}">
            <xm:f>Sheet1!$I$15=1</xm:f>
            <x14:dxf>
              <fill>
                <patternFill>
                  <bgColor theme="5" tint="0.79998168889431442"/>
                </patternFill>
              </fill>
            </x14:dxf>
          </x14:cfRule>
          <xm:sqref>O14:O16</xm:sqref>
        </x14:conditionalFormatting>
        <x14:conditionalFormatting xmlns:xm="http://schemas.microsoft.com/office/excel/2006/main">
          <x14:cfRule type="expression" priority="9" id="{BF91C08F-8C5D-4BDC-AAF6-C3B9CB0E44AF}">
            <xm:f>Sheet1!$I$16=1</xm:f>
            <x14:dxf>
              <fill>
                <patternFill>
                  <bgColor theme="5" tint="0.79998168889431442"/>
                </patternFill>
              </fill>
            </x14:dxf>
          </x14:cfRule>
          <xm:sqref>P14:P16</xm:sqref>
        </x14:conditionalFormatting>
        <x14:conditionalFormatting xmlns:xm="http://schemas.microsoft.com/office/excel/2006/main">
          <x14:cfRule type="expression" priority="6" id="{B931E7AD-81D4-41D9-B145-79E270FEBC8F}">
            <xm:f>Sheet1!$I$19=1</xm:f>
            <x14:dxf>
              <fill>
                <patternFill>
                  <bgColor theme="5" tint="0.79998168889431442"/>
                </patternFill>
              </fill>
            </x14:dxf>
          </x14:cfRule>
          <xm:sqref>L17:L19</xm:sqref>
        </x14:conditionalFormatting>
        <x14:conditionalFormatting xmlns:xm="http://schemas.microsoft.com/office/excel/2006/main">
          <x14:cfRule type="expression" priority="5" id="{E2C7A350-FD2D-491F-8116-76B386C967D6}">
            <xm:f>Sheet1!$I$20=1</xm:f>
            <x14:dxf>
              <fill>
                <patternFill>
                  <bgColor theme="5" tint="0.79998168889431442"/>
                </patternFill>
              </fill>
            </x14:dxf>
          </x14:cfRule>
          <xm:sqref>M17:M19</xm:sqref>
        </x14:conditionalFormatting>
        <x14:conditionalFormatting xmlns:xm="http://schemas.microsoft.com/office/excel/2006/main">
          <x14:cfRule type="expression" priority="4" id="{9AC6B4F6-C352-4937-80DF-B4C138C7035C}">
            <xm:f>Sheet1!$I$21=1</xm:f>
            <x14:dxf>
              <fill>
                <patternFill>
                  <bgColor theme="5" tint="0.79998168889431442"/>
                </patternFill>
              </fill>
            </x14:dxf>
          </x14:cfRule>
          <xm:sqref>N17:N19</xm:sqref>
        </x14:conditionalFormatting>
        <x14:conditionalFormatting xmlns:xm="http://schemas.microsoft.com/office/excel/2006/main">
          <x14:cfRule type="expression" priority="3" id="{8DE9AC4C-394F-4B84-BBD9-CAEBD52E920E}">
            <xm:f>Sheet1!$I$22=1</xm:f>
            <x14:dxf>
              <fill>
                <patternFill>
                  <bgColor theme="5" tint="0.79998168889431442"/>
                </patternFill>
              </fill>
            </x14:dxf>
          </x14:cfRule>
          <xm:sqref>O17:O19</xm:sqref>
        </x14:conditionalFormatting>
        <x14:conditionalFormatting xmlns:xm="http://schemas.microsoft.com/office/excel/2006/main">
          <x14:cfRule type="expression" priority="2" id="{0CE67DF0-C7C8-44DC-8CED-89BD4053A88D}">
            <xm:f>Sheet1!$I$23=1</xm:f>
            <x14:dxf>
              <fill>
                <patternFill>
                  <bgColor theme="5" tint="0.79998168889431442"/>
                </patternFill>
              </fill>
            </x14:dxf>
          </x14:cfRule>
          <xm:sqref>P17:P19</xm:sqref>
        </x14:conditionalFormatting>
        <x14:conditionalFormatting xmlns:xm="http://schemas.microsoft.com/office/excel/2006/main">
          <x14:cfRule type="expression" priority="1" id="{13D5F8D7-E5CF-4956-9479-0FE97A16BBF3}">
            <xm:f>Sheet1!$E$9=1</xm:f>
            <x14:dxf>
              <fill>
                <patternFill>
                  <bgColor theme="5" tint="0.79998168889431442"/>
                </patternFill>
              </fill>
            </x14:dxf>
          </x14:cfRule>
          <xm:sqref>I5:I7</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69AD5-17EB-49B5-9BBE-4C9ECB13D493}">
  <sheetPr codeName="Sheet2"/>
  <dimension ref="A1:Z77"/>
  <sheetViews>
    <sheetView topLeftCell="A5" zoomScale="70" zoomScaleNormal="70" workbookViewId="0">
      <selection activeCell="D33" sqref="D33"/>
    </sheetView>
  </sheetViews>
  <sheetFormatPr defaultColWidth="8.85546875" defaultRowHeight="15" x14ac:dyDescent="0.25"/>
  <cols>
    <col min="1" max="1" width="45.7109375" style="49" customWidth="1"/>
    <col min="2" max="2" width="63.42578125" style="49" customWidth="1"/>
    <col min="3" max="3" width="50.7109375" style="49" customWidth="1"/>
    <col min="4" max="4" width="24.28515625" style="49" customWidth="1"/>
    <col min="5" max="5" width="11.7109375" style="50" customWidth="1"/>
    <col min="6" max="6" width="13.5703125" style="50" customWidth="1"/>
    <col min="7" max="8" width="14.85546875" style="50" customWidth="1"/>
    <col min="9" max="9" width="9.85546875" style="50" customWidth="1"/>
    <col min="10" max="10" width="16.7109375" style="50" customWidth="1"/>
    <col min="11" max="11" width="8.85546875" style="50" customWidth="1"/>
    <col min="12" max="12" width="12.140625" style="50" customWidth="1"/>
    <col min="13" max="13" width="9.7109375" style="50" customWidth="1"/>
    <col min="14" max="14" width="8.85546875" style="50"/>
    <col min="15" max="15" width="8.85546875" style="138"/>
    <col min="16" max="16" width="63.140625" style="50" bestFit="1" customWidth="1"/>
    <col min="17" max="17" width="25.85546875" style="50" bestFit="1" customWidth="1"/>
    <col min="18" max="18" width="4.5703125" style="50" bestFit="1" customWidth="1"/>
    <col min="19" max="19" width="6.7109375" style="50" bestFit="1" customWidth="1"/>
    <col min="20" max="16384" width="8.85546875" style="50"/>
  </cols>
  <sheetData>
    <row r="1" spans="1:13" ht="15.75" thickBot="1" x14ac:dyDescent="0.3"/>
    <row r="2" spans="1:13" ht="15.75" thickBot="1" x14ac:dyDescent="0.3">
      <c r="A2" s="263" t="s">
        <v>214</v>
      </c>
      <c r="B2" s="264"/>
    </row>
    <row r="3" spans="1:13" ht="15.75" thickBot="1" x14ac:dyDescent="0.3">
      <c r="A3" s="265" t="s">
        <v>77</v>
      </c>
      <c r="B3" s="266"/>
    </row>
    <row r="4" spans="1:13" ht="15.75" thickBot="1" x14ac:dyDescent="0.3">
      <c r="A4" s="51" t="s">
        <v>78</v>
      </c>
      <c r="B4" s="52" t="s">
        <v>229</v>
      </c>
    </row>
    <row r="5" spans="1:13" ht="15.75" thickBot="1" x14ac:dyDescent="0.3">
      <c r="A5" s="81" t="s">
        <v>86</v>
      </c>
      <c r="B5" s="82" t="str">
        <f>IF(ISBLANK(Vragenlijst!D5),"",Vragenlijst!D5)</f>
        <v/>
      </c>
    </row>
    <row r="6" spans="1:13" ht="15.75" thickBot="1" x14ac:dyDescent="0.3">
      <c r="A6" s="81" t="s">
        <v>87</v>
      </c>
      <c r="B6" s="82" t="str">
        <f>IF(ISBLANK(Vragenlijst!D7),"",Vragenlijst!D7)</f>
        <v/>
      </c>
    </row>
    <row r="7" spans="1:13" ht="15.75" thickBot="1" x14ac:dyDescent="0.3">
      <c r="A7" s="81" t="s">
        <v>88</v>
      </c>
      <c r="B7" s="83" t="str">
        <f>IF(ISBLANK(Vragenlijst!D9),"",Vragenlijst!D9)</f>
        <v/>
      </c>
    </row>
    <row r="8" spans="1:13" ht="15.75" thickBot="1" x14ac:dyDescent="0.3">
      <c r="A8" s="81" t="s">
        <v>89</v>
      </c>
      <c r="B8" s="83" t="str">
        <f>IF(ISBLANK(Vragenlijst!D11),"",Vragenlijst!D11)</f>
        <v/>
      </c>
    </row>
    <row r="9" spans="1:13" ht="15.75" thickBot="1" x14ac:dyDescent="0.3">
      <c r="A9" s="81" t="s">
        <v>93</v>
      </c>
      <c r="B9" s="83" t="str">
        <f>IF(ISBLANK(Vragenlijst!D13),"",Vragenlijst!D13)</f>
        <v/>
      </c>
    </row>
    <row r="10" spans="1:13" ht="15.75" thickBot="1" x14ac:dyDescent="0.3">
      <c r="A10" s="84" t="s">
        <v>90</v>
      </c>
      <c r="B10" s="83" t="str">
        <f>IF(ISBLANK(Vragenlijst!D15),"",Vragenlijst!D15)</f>
        <v/>
      </c>
    </row>
    <row r="11" spans="1:13" ht="15.75" thickBot="1" x14ac:dyDescent="0.3">
      <c r="A11" s="85" t="s">
        <v>94</v>
      </c>
      <c r="B11" s="83" t="str">
        <f>IF(ISBLANK(Vragenlijst!D17),"",Vragenlijst!D17)</f>
        <v/>
      </c>
    </row>
    <row r="12" spans="1:13" ht="15.75" thickBot="1" x14ac:dyDescent="0.3">
      <c r="A12" s="81" t="s">
        <v>91</v>
      </c>
      <c r="B12" s="83" t="str">
        <f>IF(ISBLANK(Vragenlijst!D19),"",Vragenlijst!D19)</f>
        <v/>
      </c>
    </row>
    <row r="13" spans="1:13" ht="30.75" thickBot="1" x14ac:dyDescent="0.3">
      <c r="A13" s="81" t="s">
        <v>92</v>
      </c>
      <c r="B13" s="83" t="str">
        <f>IF(ISBLANK(Vragenlijst!D21),"",Vragenlijst!D21)</f>
        <v/>
      </c>
    </row>
    <row r="14" spans="1:13" ht="15.75" thickBot="1" x14ac:dyDescent="0.3">
      <c r="A14" s="81" t="s">
        <v>95</v>
      </c>
      <c r="B14" s="83" t="str">
        <f>IF(ISBLANK(Vragenlijst!D23),"",Vragenlijst!D23)</f>
        <v/>
      </c>
      <c r="E14" s="156" t="s">
        <v>295</v>
      </c>
      <c r="F14" s="157">
        <f>'stringopbouw advies'!Q15</f>
        <v>0</v>
      </c>
      <c r="G14" s="156" t="s">
        <v>296</v>
      </c>
      <c r="H14" s="157">
        <f>'stringopbouw advies'!Q17</f>
        <v>0</v>
      </c>
      <c r="I14" s="50">
        <f>IF('stringopbouw advies'!$Q$15=3,"DPS 150-500 kW",1)</f>
        <v>1</v>
      </c>
    </row>
    <row r="15" spans="1:13" x14ac:dyDescent="0.25">
      <c r="A15" s="86"/>
      <c r="B15" s="87"/>
      <c r="C15" s="88"/>
      <c r="D15" s="88"/>
      <c r="E15" s="89"/>
      <c r="F15" s="90"/>
      <c r="G15" s="90"/>
      <c r="H15" s="90"/>
      <c r="I15" s="90"/>
      <c r="J15" s="90"/>
      <c r="K15" s="90"/>
      <c r="L15" s="90"/>
      <c r="M15" s="89"/>
    </row>
    <row r="16" spans="1:13" x14ac:dyDescent="0.25">
      <c r="A16" s="54"/>
      <c r="B16" s="54"/>
      <c r="F16" s="278" t="s">
        <v>200</v>
      </c>
      <c r="G16" s="278"/>
      <c r="H16" s="278"/>
      <c r="I16" s="278"/>
      <c r="J16" s="278"/>
      <c r="K16" s="278"/>
      <c r="L16" s="278"/>
      <c r="M16" s="89"/>
    </row>
    <row r="17" spans="1:26" x14ac:dyDescent="0.25">
      <c r="A17" s="261" t="s">
        <v>79</v>
      </c>
      <c r="B17" s="262"/>
      <c r="E17" s="53" t="s">
        <v>143</v>
      </c>
      <c r="F17" s="267" t="s">
        <v>101</v>
      </c>
      <c r="G17" s="268"/>
      <c r="H17" s="268"/>
      <c r="I17" s="269"/>
      <c r="J17" s="267" t="s">
        <v>138</v>
      </c>
      <c r="K17" s="268"/>
      <c r="L17" s="269"/>
      <c r="M17" s="89"/>
    </row>
    <row r="18" spans="1:26" ht="30" x14ac:dyDescent="0.25">
      <c r="A18" s="109" t="s">
        <v>96</v>
      </c>
      <c r="B18" s="110" t="s">
        <v>97</v>
      </c>
      <c r="C18" s="107" t="s">
        <v>106</v>
      </c>
      <c r="D18" s="108" t="s">
        <v>107</v>
      </c>
      <c r="E18" s="111" t="s">
        <v>139</v>
      </c>
      <c r="F18" s="111" t="s">
        <v>140</v>
      </c>
      <c r="G18" s="111" t="s">
        <v>141</v>
      </c>
      <c r="H18" s="111" t="s">
        <v>142</v>
      </c>
      <c r="I18" s="111" t="s">
        <v>177</v>
      </c>
      <c r="J18" s="111" t="s">
        <v>102</v>
      </c>
      <c r="K18" s="111" t="s">
        <v>103</v>
      </c>
      <c r="L18" s="112" t="s">
        <v>104</v>
      </c>
      <c r="M18" s="89"/>
    </row>
    <row r="19" spans="1:26" ht="45" x14ac:dyDescent="0.25">
      <c r="A19" s="100">
        <v>1</v>
      </c>
      <c r="B19" s="56" t="str">
        <f>IF('stringopbouw advies'!B22=0,adviesopties!B4,"")</f>
        <v>Advies: Behoud van huidige systeem met gedeeltelijke ombouw &amp; wisseling naar alternatief F-gas, gerecycled koudemiddel mogelijk tot 2030</v>
      </c>
      <c r="C19" s="55">
        <f>IF(B19="","",Vragenlijst!$D$13)</f>
        <v>0</v>
      </c>
      <c r="D19" s="55" t="str">
        <f>IF(B19="","",IF('stringopbouw advies'!$Q$17=1,IF('stringopbouw advies'!$Q$15=1,"Dxe",IF('stringopbouw advies'!$Q$15=2,"DXc 25-150 kW",IF('stringopbouw advies'!$Q$15=3,"DPS 150-500 kW of IDPS 150-500 kW",IF('stringopbouw advies'!$Q$15=4,"DPS &gt;500 kW of IDPS &gt;500 kW",IF('stringopbouw advies'!$Q$15=5,"IDPS 150-500 kW",IF('stringopbouw advies'!$Q$15=6,"IDPS &gt;500 kW","")))))),IF('stringopbouw advies'!$Q$17=2,"DXc 25-150 kW",IF('stringopbouw advies'!$Q$17=3,"DPS 150-500 kW",IF('stringopbouw advies'!$Q$17=4,"IDPS 150-500 kW",IF('stringopbouw advies'!$Q$17=5,"DPS &gt;500 kW",IF('stringopbouw advies'!$Q$17=6,"IDPS &gt;500 kW",IF('stringopbouw advies'!$Q$17=7,"DPS nog meer &gt;500 kW",IF('stringopbouw advies'!$Q$17=8,"IDPS nog meer &gt;500 kW","")))))))))</f>
        <v/>
      </c>
      <c r="E19" s="46" t="str">
        <f>IF($B19="","",IF(Vragenlijst!$D$7="","niet relevant",Vragenlijst!$D$7))</f>
        <v>niet relevant</v>
      </c>
      <c r="F19" s="46" t="str">
        <f>IF(E19="","",IF($B$12="nee, bij voorkeur een alternatief F-gas",IF(VLOOKUP(E19,koudemiddelen!$A$4:$J$12,3,FALSE)="","",VLOOKUP(E19,koudemiddelen!$A$4:$J$12,3,FALSE)),""))</f>
        <v/>
      </c>
      <c r="G19" s="46" t="str">
        <f>IF(E19="","",IF($B$12="nee, bij voorkeur een alternatief F-gas",IF(VLOOKUP(E19,koudemiddelen!$A$4:$J$12,5,FALSE)="","",VLOOKUP(E19,koudemiddelen!$A$4:$J$12,5,FALSE)),""))</f>
        <v/>
      </c>
      <c r="H19" s="46" t="str">
        <f>IF(E19="","",IF($B$12="nee, bij voorkeur een alternatief F-gas",IF(VLOOKUP(E19,koudemiddelen!$A$4:$J$12,7,FALSE)="","",VLOOKUP(E19,koudemiddelen!$A$4:$J$12,7,FALSE)),""))</f>
        <v/>
      </c>
      <c r="I19" s="46" t="str">
        <f>IF(E19="","",IF($B$12="nee, bij voorkeur een alternatief F-gas",IF(VLOOKUP(E19,koudemiddelen!$A$4:$J$12,9,FALSE)="","",VLOOKUP(E19,koudemiddelen!$A$4:$J$12,9,FALSE)),""))</f>
        <v/>
      </c>
      <c r="J19" s="46" t="str">
        <f>""</f>
        <v/>
      </c>
      <c r="K19" s="46" t="str">
        <f>""</f>
        <v/>
      </c>
      <c r="L19" s="46" t="str">
        <f>""</f>
        <v/>
      </c>
      <c r="M19" s="89"/>
      <c r="O19" s="138" cm="1">
        <f t="array" ref="O19:Z31">_xlfn._xlws.FILTER(Table1[],ISNUMBER(SEARCH("advies",Table1[Voor schatting investering, onderhoud, en energiekosten: zie tabel hier onder (tabel 2)])),"geen advies nodig/mogelijk")</f>
        <v>1</v>
      </c>
      <c r="P19" s="50" t="str">
        <v>Advies: Behoud van huidige systeem met gedeeltelijke ombouw &amp; wisseling naar alternatief F-gas, gerecycled koudemiddel mogelijk tot 2030</v>
      </c>
      <c r="Q19" s="50">
        <v>0</v>
      </c>
      <c r="R19" s="50" t="str">
        <v/>
      </c>
      <c r="S19" s="50" t="str">
        <v>niet relevant</v>
      </c>
      <c r="T19" s="50" t="str">
        <v/>
      </c>
      <c r="U19" s="50" t="str">
        <v/>
      </c>
      <c r="V19" s="50" t="str">
        <v/>
      </c>
      <c r="W19" s="50" t="str">
        <v/>
      </c>
      <c r="X19" s="50" t="str">
        <v/>
      </c>
      <c r="Y19" s="50" t="str">
        <v/>
      </c>
      <c r="Z19" s="50" t="str">
        <v/>
      </c>
    </row>
    <row r="20" spans="1:26" ht="45" x14ac:dyDescent="0.25">
      <c r="A20" s="100">
        <v>2</v>
      </c>
      <c r="B20" s="56" t="str">
        <f>IF('stringopbouw advies'!C22=0,adviesopties!B5,"")</f>
        <v>Advies: Gedeeltelijke ombouw. Tot 2030, alleen met gerecycled koudemiddel. Gedeeltelijke ombouw naar indirect koudedrager pompsysteem met F-gas &lt;150, let op voor PFAS reglementen</v>
      </c>
      <c r="C20" s="55">
        <f>IF(B20="","",Vragenlijst!$D$13)</f>
        <v>0</v>
      </c>
      <c r="D20" s="55" t="str">
        <f>IF(B20="","",IF('stringopbouw advies'!$Q$17=1,IF('stringopbouw advies'!$Q$15=3,"IDPS 150-500 kW",IF('stringopbouw advies'!$Q$15=4,"IDPS &gt;500 kW",IF('stringopbouw advies'!$Q$15=5,"IDPS 150-500 kW",IF('stringopbouw advies'!$Q$15=6,"IDPS &gt;500 kW","")))),IF('stringopbouw advies'!$Q$17=4,"IDPS 150-500 kW",IF('stringopbouw advies'!$Q$17=6,"IDPS &gt;500 kW",IF('stringopbouw advies'!$Q$17=8,"IDPS nog meer &gt;500 kW","")))))</f>
        <v/>
      </c>
      <c r="E20" s="46" t="str">
        <f>IF($B20="","",IF(Vragenlijst!$D$7="","niet relevant",Vragenlijst!$D$7))</f>
        <v>niet relevant</v>
      </c>
      <c r="F20" s="46" t="str">
        <f>IF(E20="","",IF($B$12="nee, bij voorkeur een alternatief F-gas",IF(VLOOKUP(E20,koudemiddelen!$A$4:$J$12,3,FALSE)="","",VLOOKUP(E20,koudemiddelen!$A$4:$J$12,3,FALSE)),""))</f>
        <v/>
      </c>
      <c r="G20" s="46" t="str">
        <f>IF(E20="","",IF($B$12="nee, bij voorkeur een alternatief F-gas",IF(VLOOKUP(E20,koudemiddelen!$A$4:$J$12,5,FALSE)="","",VLOOKUP(E20,koudemiddelen!$A$4:$J$12,5,FALSE)),""))</f>
        <v/>
      </c>
      <c r="H20" s="46" t="str">
        <f>IF(E20="","",IF($B$12="nee, bij voorkeur een alternatief F-gas",IF(VLOOKUP(E20,koudemiddelen!$A$4:$J$12,7,FALSE)="","",VLOOKUP(E20,koudemiddelen!$A$4:$J$12,7,FALSE)),""))</f>
        <v/>
      </c>
      <c r="I20" s="46" t="str">
        <f>IF(E20="","",IF($B$12="nee, bij voorkeur een alternatief F-gas",IF(VLOOKUP(E20,koudemiddelen!$A$4:$J$12,9,FALSE)="","",VLOOKUP(E20,koudemiddelen!$A$4:$J$12,9,FALSE)),""))</f>
        <v/>
      </c>
      <c r="J20" s="46" t="str">
        <f>""</f>
        <v/>
      </c>
      <c r="K20" s="46" t="str">
        <f>""</f>
        <v/>
      </c>
      <c r="L20" s="46" t="str">
        <f>""</f>
        <v/>
      </c>
      <c r="M20" s="89"/>
      <c r="O20" s="138">
        <v>2</v>
      </c>
      <c r="P20" s="50" t="str">
        <v>Advies: Gedeeltelijke ombouw. Tot 2030, alleen met gerecycled koudemiddel. Gedeeltelijke ombouw naar indirect koudedrager pompsysteem met F-gas &lt;150, let op voor PFAS reglementen</v>
      </c>
      <c r="Q20" s="50">
        <v>0</v>
      </c>
      <c r="R20" s="50" t="str">
        <v/>
      </c>
      <c r="S20" s="50" t="str">
        <v>niet relevant</v>
      </c>
      <c r="T20" s="50" t="str">
        <v/>
      </c>
      <c r="U20" s="50" t="str">
        <v/>
      </c>
      <c r="V20" s="50" t="str">
        <v/>
      </c>
      <c r="W20" s="50" t="str">
        <v/>
      </c>
      <c r="X20" s="50" t="str">
        <v/>
      </c>
      <c r="Y20" s="50" t="str">
        <v/>
      </c>
      <c r="Z20" s="50" t="str">
        <v/>
      </c>
    </row>
    <row r="21" spans="1:26" ht="30" x14ac:dyDescent="0.25">
      <c r="A21" s="100" t="s">
        <v>27</v>
      </c>
      <c r="B21" s="56" t="str">
        <f>IF('stringopbouw advies'!D22=0,adviesopties!B6,"")</f>
        <v>Advies: Gedeeltelijke ombouw met natuurlijk koudemiddelen: met CO2</v>
      </c>
      <c r="C21" s="55">
        <f>IF(B21="","",Vragenlijst!$D$13)</f>
        <v>0</v>
      </c>
      <c r="D21" s="55" t="str">
        <f>IF(B21="","",IF('stringopbouw advies'!$Q$17=1,IF('stringopbouw advies'!$Q$15=1,"Dxe",IF('stringopbouw advies'!$Q$15=2,"DXc 25-150 kW",IF('stringopbouw advies'!$Q$15=3,"DPS 150-500 kW of IDPS 150-500 kW",IF('stringopbouw advies'!$Q$15=4,"DPS &gt;500 kW of IDPS &gt;500 kW",IF('stringopbouw advies'!$Q$15=5,"IDPS 150-500 kW",IF('stringopbouw advies'!$Q$15=6,"IDPS &gt;500 kW","")))))),IF('stringopbouw advies'!$Q$17=2,"DXc 25-150 kW",IF('stringopbouw advies'!$Q$17=3,"DPS 150-500 kW",IF('stringopbouw advies'!$Q$17=4,"IDPS 150-500 kW",IF('stringopbouw advies'!$Q$17=5,"DPS &gt;500 kW",IF('stringopbouw advies'!$Q$17=6,"IDPS &gt;500 kW",IF('stringopbouw advies'!$Q$17=7,"DPS nog meer &gt;500kW",IF('stringopbouw advies'!$Q$17=8,"IDPS nog meer &gt;500 kW","")))))))))</f>
        <v/>
      </c>
      <c r="E21" s="46" t="str">
        <f>IF($B21="","",IF(Vragenlijst!$D$7="","niet relevant",Vragenlijst!$D$7))</f>
        <v>niet relevant</v>
      </c>
      <c r="F21" s="46" t="str">
        <f>IF(E21="","",IF($B$12="nee, bij voorkeur een alternatief F-gas",IF(VLOOKUP(E21,koudemiddelen!$A$4:$J$12,3,FALSE)="","",VLOOKUP(E21,koudemiddelen!$A$4:$J$12,3,FALSE)),""))</f>
        <v/>
      </c>
      <c r="G21" s="46" t="str">
        <f>IF(E21="","",IF($B$12="nee, bij voorkeur een alternatief F-gas",IF(VLOOKUP(E21,koudemiddelen!$A$4:$J$12,5,FALSE)="","",VLOOKUP(E21,koudemiddelen!$A$4:$J$12,5,FALSE)),""))</f>
        <v/>
      </c>
      <c r="H21" s="46" t="str">
        <f>IF(E21="","",IF($B$12="nee, bij voorkeur een alternatief F-gas",IF(VLOOKUP(E21,koudemiddelen!$A$4:$J$12,7,FALSE)="","",VLOOKUP(E21,koudemiddelen!$A$4:$J$12,7,FALSE)),""))</f>
        <v/>
      </c>
      <c r="I21" s="46" t="str">
        <f>IF(E21="","",IF($B$12="nee, bij voorkeur een alternatief F-gas",IF(VLOOKUP(E21,koudemiddelen!$A$4:$J$12,9,FALSE)="","",VLOOKUP(E21,koudemiddelen!$A$4:$J$12,9,FALSE)),""))</f>
        <v/>
      </c>
      <c r="J21" s="46">
        <f>IF(OR($B$12="nee, bij voorkeur een alternatief F-gas",$B$12="nee, houdt liefst hetzelfde F-gas"),"",IF($B21="","",adviesopties!D6))</f>
        <v>1</v>
      </c>
      <c r="K21" s="153">
        <f>IF(OR($B$12="nee, bij voorkeur een alternatief F-gas",$B$12="nee, houdt liefst hetzelfde F-gas"),"",IF(B21="","",IF('stringopbouw advies'!K6="10b",adviesopties!F6,adviesopties!E6)))</f>
        <v>1</v>
      </c>
      <c r="L21" s="154">
        <f>IF(OR($B$12="nee, bij voorkeur een alternatief F-gas",$B$12="nee, houdt liefst hetzelfde F-gas"),"",IF($B21="","",adviesopties!G6))</f>
        <v>1</v>
      </c>
      <c r="M21" s="89"/>
      <c r="O21" s="138" t="str">
        <v>3a</v>
      </c>
      <c r="P21" s="50" t="str">
        <v>Advies: Gedeeltelijke ombouw met natuurlijk koudemiddelen: met CO2</v>
      </c>
      <c r="Q21" s="50">
        <v>0</v>
      </c>
      <c r="R21" s="50" t="str">
        <v/>
      </c>
      <c r="S21" s="50" t="str">
        <v>niet relevant</v>
      </c>
      <c r="T21" s="50" t="str">
        <v/>
      </c>
      <c r="U21" s="50" t="str">
        <v/>
      </c>
      <c r="V21" s="50" t="str">
        <v/>
      </c>
      <c r="W21" s="50" t="str">
        <v/>
      </c>
      <c r="X21" s="50">
        <v>1</v>
      </c>
      <c r="Y21" s="50">
        <v>1</v>
      </c>
      <c r="Z21" s="50">
        <v>1</v>
      </c>
    </row>
    <row r="22" spans="1:26" ht="30" x14ac:dyDescent="0.25">
      <c r="A22" s="100" t="s">
        <v>36</v>
      </c>
      <c r="B22" s="56" t="str">
        <f>IF('stringopbouw advies'!E22=0,adviesopties!B7,"")</f>
        <v>Advies: Gedeeltelijke ombouw met natuurlijk koudemiddelen: zonder CO2</v>
      </c>
      <c r="C22" s="55">
        <f>IF(B22="","",Vragenlijst!$D$13)</f>
        <v>0</v>
      </c>
      <c r="D22" s="55" t="str">
        <f>IF(B22="","",IF('stringopbouw advies'!$Q$17=1,IF('stringopbouw advies'!$Q$15=1,"Dxe",IF('stringopbouw advies'!$Q$15=2,"DXc 25-150 kW",IF('stringopbouw advies'!$Q$15=3,"DPS 150-500 kW of IDPS 150-500 kW",IF('stringopbouw advies'!$Q$15=4,"DPS &gt;500 kW of IDPS &gt;500 kW",IF('stringopbouw advies'!$Q$15=5,"IDPS 150-500 kW",IF('stringopbouw advies'!$Q$15=6,"IDPS &gt;500 kW","")))))),IF('stringopbouw advies'!$Q$17=2,"DXc 25-150 kW",IF('stringopbouw advies'!$Q$17=3,"DPS 150-500 kW",IF('stringopbouw advies'!$Q$17=4,"IDPS 150-500 kW",IF('stringopbouw advies'!$Q$17=5,"DPS &gt;500 kW",IF('stringopbouw advies'!$Q$17=6,"IDPS &gt;500 kW",IF('stringopbouw advies'!$Q$17=7,"DPS nog meer &gt;500kW",IF('stringopbouw advies'!$Q$17=8,"IDPS nog meer &gt;500 kW","")))))))))</f>
        <v/>
      </c>
      <c r="E22" s="46" t="str">
        <f>IF($B22="","",IF(Vragenlijst!$D$7="","niet relevant",Vragenlijst!$D$7))</f>
        <v>niet relevant</v>
      </c>
      <c r="F22" s="46" t="str">
        <f>IF(E22="","",IF($B$12="nee, bij voorkeur een alternatief F-gas",IF(VLOOKUP(E22,koudemiddelen!$A$4:$J$12,3,FALSE)="","",VLOOKUP(E22,koudemiddelen!$A$4:$J$12,3,FALSE)),""))</f>
        <v/>
      </c>
      <c r="G22" s="46" t="str">
        <f>IF(E22="","",IF($B$12="nee, bij voorkeur een alternatief F-gas",IF(VLOOKUP(E22,koudemiddelen!$A$4:$J$12,5,FALSE)="","",VLOOKUP(E22,koudemiddelen!$A$4:$J$12,5,FALSE)),""))</f>
        <v/>
      </c>
      <c r="H22" s="46" t="str">
        <f>IF(E22="","",IF($B$12="nee, bij voorkeur een alternatief F-gas",IF(VLOOKUP(E22,koudemiddelen!$A$4:$J$12,7,FALSE)="","",VLOOKUP(E22,koudemiddelen!$A$4:$J$12,7,FALSE)),""))</f>
        <v/>
      </c>
      <c r="I22" s="46" t="str">
        <f>IF(E22="","",IF($B$12="nee, bij voorkeur een alternatief F-gas",IF(VLOOKUP(E22,koudemiddelen!$A$4:$J$12,9,FALSE)="","",VLOOKUP(E22,koudemiddelen!$A$4:$J$12,9,FALSE)),""))</f>
        <v/>
      </c>
      <c r="J22" s="151">
        <f>IF(OR($B$12="nee, bij voorkeur een alternatief F-gas",$B$12="nee, houdt liefst hetzelfde F-gas"),"",IF($B22="","",adviesopties!D7))</f>
        <v>1</v>
      </c>
      <c r="K22" s="151" t="str">
        <f>""</f>
        <v/>
      </c>
      <c r="L22" s="152">
        <f>IF(OR($B$12="nee, bij voorkeur een alternatief F-gas",$B$12="nee, houdt liefst hetzelfde F-gas"),"",IF($B22="","",adviesopties!G7))</f>
        <v>1</v>
      </c>
      <c r="M22" s="89"/>
      <c r="O22" s="138" t="str">
        <v>3b</v>
      </c>
      <c r="P22" s="50" t="str">
        <v>Advies: Gedeeltelijke ombouw met natuurlijk koudemiddelen: zonder CO2</v>
      </c>
      <c r="Q22" s="50">
        <v>0</v>
      </c>
      <c r="R22" s="50" t="str">
        <v/>
      </c>
      <c r="S22" s="50" t="str">
        <v>niet relevant</v>
      </c>
      <c r="T22" s="50" t="str">
        <v/>
      </c>
      <c r="U22" s="50" t="str">
        <v/>
      </c>
      <c r="V22" s="50" t="str">
        <v/>
      </c>
      <c r="W22" s="50" t="str">
        <v/>
      </c>
      <c r="X22" s="50">
        <v>1</v>
      </c>
      <c r="Y22" s="50" t="str">
        <v/>
      </c>
      <c r="Z22" s="50">
        <v>1</v>
      </c>
    </row>
    <row r="23" spans="1:26" ht="30" x14ac:dyDescent="0.25">
      <c r="A23" s="100" t="s">
        <v>65</v>
      </c>
      <c r="B23" s="56" t="str">
        <f>IF('stringopbouw advies'!F22=0,adviesopties!B8,"")</f>
        <v>Advies: Volledige vervanging naar natuurlijke middelen: DXe; met CO2</v>
      </c>
      <c r="C23" s="55">
        <f>IF(B23="","",Vragenlijst!$D$13)</f>
        <v>0</v>
      </c>
      <c r="D23" s="55" t="b">
        <f>IF(B23="","",IF('stringopbouw advies'!$Q$17=1,IF('stringopbouw advies'!$Q$15=1,"Dxe","")))</f>
        <v>0</v>
      </c>
      <c r="E23" s="46" t="str">
        <f>IF($B23="","",IF(Vragenlijst!$D$7="","niet relevant",Vragenlijst!$D$7))</f>
        <v>niet relevant</v>
      </c>
      <c r="F23" s="46" t="str">
        <f>""</f>
        <v/>
      </c>
      <c r="G23" s="46" t="str">
        <f>""</f>
        <v/>
      </c>
      <c r="H23" s="46" t="str">
        <f>""</f>
        <v/>
      </c>
      <c r="I23" s="46" t="str">
        <f>""</f>
        <v/>
      </c>
      <c r="J23" s="46">
        <f>IF(OR($B$12="nee, bij voorkeur een alternatief F-gas",$B$12="nee, houdt liefst hetzelfde F-gas"),"",IF($B23="","",adviesopties!D8))</f>
        <v>1</v>
      </c>
      <c r="K23" s="46">
        <f>IF(OR($B$12="nee, bij voorkeur een alternatief F-gas",$B$12="nee, houdt liefst hetzelfde F-gas"),"",IF($B23="","",IF('stringopbouw advies'!K8="10b",adviesopties!F8,adviesopties!E8)))</f>
        <v>1</v>
      </c>
      <c r="L23" s="101">
        <f>IF(OR($B$12="nee, bij voorkeur een alternatief F-gas",$B$12="nee, houdt liefst hetzelfde F-gas"),"",IF($B23="","",adviesopties!G8))</f>
        <v>1</v>
      </c>
      <c r="M23" s="89"/>
      <c r="O23" s="138" t="str">
        <v>4a1</v>
      </c>
      <c r="P23" s="50" t="str">
        <v>Advies: Volledige vervanging naar natuurlijke middelen: DXe; met CO2</v>
      </c>
      <c r="Q23" s="50">
        <v>0</v>
      </c>
      <c r="R23" s="50" t="b">
        <v>0</v>
      </c>
      <c r="S23" s="50" t="str">
        <v>niet relevant</v>
      </c>
      <c r="T23" s="50" t="str">
        <v/>
      </c>
      <c r="U23" s="50" t="str">
        <v/>
      </c>
      <c r="V23" s="50" t="str">
        <v/>
      </c>
      <c r="W23" s="50" t="str">
        <v/>
      </c>
      <c r="X23" s="50">
        <v>1</v>
      </c>
      <c r="Y23" s="50">
        <v>1</v>
      </c>
      <c r="Z23" s="50">
        <v>1</v>
      </c>
    </row>
    <row r="24" spans="1:26" ht="30" x14ac:dyDescent="0.25">
      <c r="A24" s="100" t="s">
        <v>66</v>
      </c>
      <c r="B24" s="56" t="str">
        <f>IF('stringopbouw advies'!G22=0,adviesopties!B9,"")</f>
        <v>Advies: Volledige vervanging naar natuurlijke middelen: DXe; zonder CO2</v>
      </c>
      <c r="C24" s="55">
        <f>IF(B24="","",Vragenlijst!$D$13)</f>
        <v>0</v>
      </c>
      <c r="D24" s="55" t="b">
        <f>IF(B24="","",IF('stringopbouw advies'!$Q$17=1,IF('stringopbouw advies'!$Q$15=1,"DXe","")))</f>
        <v>0</v>
      </c>
      <c r="E24" s="46" t="str">
        <f>IF($B24="","",IF(Vragenlijst!$D$7="","niet relevant",Vragenlijst!$D$7))</f>
        <v>niet relevant</v>
      </c>
      <c r="F24" s="46" t="str">
        <f>""</f>
        <v/>
      </c>
      <c r="G24" s="46" t="str">
        <f>""</f>
        <v/>
      </c>
      <c r="H24" s="46" t="str">
        <f>""</f>
        <v/>
      </c>
      <c r="I24" s="46" t="str">
        <f>""</f>
        <v/>
      </c>
      <c r="J24" s="46">
        <f>IF(OR($B$12="nee, bij voorkeur een alternatief F-gas",$B$12="nee, houdt liefst hetzelfde F-gas"),"",IF($B24="","",adviesopties!D9))</f>
        <v>1</v>
      </c>
      <c r="K24" s="46" t="str">
        <f>""</f>
        <v/>
      </c>
      <c r="L24" s="101">
        <f>IF(OR($B$12="nee, bij voorkeur een alternatief F-gas",$B$12="nee, houdt liefst hetzelfde F-gas"),"",IF($B24="","",adviesopties!G9))</f>
        <v>1</v>
      </c>
      <c r="M24" s="89"/>
      <c r="O24" s="138" t="str">
        <v>4a2</v>
      </c>
      <c r="P24" s="50" t="str">
        <v>Advies: Volledige vervanging naar natuurlijke middelen: DXe; zonder CO2</v>
      </c>
      <c r="Q24" s="50">
        <v>0</v>
      </c>
      <c r="R24" s="50" t="b">
        <v>0</v>
      </c>
      <c r="S24" s="50" t="str">
        <v>niet relevant</v>
      </c>
      <c r="T24" s="50" t="str">
        <v/>
      </c>
      <c r="U24" s="50" t="str">
        <v/>
      </c>
      <c r="V24" s="50" t="str">
        <v/>
      </c>
      <c r="W24" s="50" t="str">
        <v/>
      </c>
      <c r="X24" s="50">
        <v>1</v>
      </c>
      <c r="Y24" s="50" t="str">
        <v/>
      </c>
      <c r="Z24" s="50">
        <v>1</v>
      </c>
    </row>
    <row r="25" spans="1:26" x14ac:dyDescent="0.25">
      <c r="A25" s="100" t="s">
        <v>67</v>
      </c>
      <c r="B25" s="56" t="str">
        <f>IF('stringopbouw advies'!H22=0,adviesopties!B10,"")</f>
        <v>Advies: Volledige vervanging naar natuurlijke middelen:DXc: met CO2</v>
      </c>
      <c r="C25" s="55">
        <f>IF(B25="","",Vragenlijst!$D$13)</f>
        <v>0</v>
      </c>
      <c r="D25" s="55" t="b">
        <f>IF(B25="","",IF('stringopbouw advies'!$Q$17=1,IF('stringopbouw advies'!$Q$15=2,"DXc 25-150 kW",""),IF('stringopbouw advies'!$Q$17=2,IF('stringopbouw advies'!$Q$15=1,"DXc 25-150 kW",""))))</f>
        <v>0</v>
      </c>
      <c r="E25" s="46" t="str">
        <f>IF($B25="","",IF(Vragenlijst!$D$7="","niet relevant",Vragenlijst!$D$7))</f>
        <v>niet relevant</v>
      </c>
      <c r="F25" s="46" t="str">
        <f>""</f>
        <v/>
      </c>
      <c r="G25" s="46" t="str">
        <f>""</f>
        <v/>
      </c>
      <c r="H25" s="46" t="str">
        <f>""</f>
        <v/>
      </c>
      <c r="I25" s="46" t="str">
        <f>""</f>
        <v/>
      </c>
      <c r="J25" s="46">
        <f>IF(OR($B$12="nee, bij voorkeur een alternatief F-gas",$B$12="nee, houdt liefst hetzelfde F-gas"),"",IF($B25="","",adviesopties!D10))</f>
        <v>1</v>
      </c>
      <c r="K25" s="46">
        <f>IF(OR($B$12="nee, bij voorkeur een alternatief F-gas",$B$12="nee, houdt liefst hetzelfde F-gas"),"",IF($B25="","",IF('stringopbouw advies'!K10="10b",adviesopties!F10,adviesopties!E10)))</f>
        <v>1</v>
      </c>
      <c r="L25" s="101">
        <f>IF(OR($B$12="nee, bij voorkeur een alternatief F-gas",$B$12="nee, houdt liefst hetzelfde F-gas"),"",IF($B25="","",adviesopties!G10))</f>
        <v>1</v>
      </c>
      <c r="M25" s="89"/>
      <c r="O25" s="138" t="str">
        <v>4b1</v>
      </c>
      <c r="P25" s="50" t="str">
        <v>Advies: Volledige vervanging naar natuurlijke middelen:DXc: met CO2</v>
      </c>
      <c r="Q25" s="50">
        <v>0</v>
      </c>
      <c r="R25" s="50" t="b">
        <v>0</v>
      </c>
      <c r="S25" s="50" t="str">
        <v>niet relevant</v>
      </c>
      <c r="T25" s="50" t="str">
        <v/>
      </c>
      <c r="U25" s="50" t="str">
        <v/>
      </c>
      <c r="V25" s="50" t="str">
        <v/>
      </c>
      <c r="W25" s="50" t="str">
        <v/>
      </c>
      <c r="X25" s="50">
        <v>1</v>
      </c>
      <c r="Y25" s="50">
        <v>1</v>
      </c>
      <c r="Z25" s="50">
        <v>1</v>
      </c>
    </row>
    <row r="26" spans="1:26" ht="30" x14ac:dyDescent="0.25">
      <c r="A26" s="100" t="s">
        <v>68</v>
      </c>
      <c r="B26" s="56" t="str">
        <f>IF('stringopbouw advies'!I22=0,adviesopties!B11,"")</f>
        <v>Advies: Volledige vervanging naar natuurlijke middelen:DXc: zonder CO2</v>
      </c>
      <c r="C26" s="55">
        <f>IF(B26="","",Vragenlijst!$D$13)</f>
        <v>0</v>
      </c>
      <c r="D26" s="55" t="b">
        <f>IF(B26="","",IF('stringopbouw advies'!$Q$17=1,IF('stringopbouw advies'!$Q$15=2,"DXc 25-150 kW",""),IF('stringopbouw advies'!$Q$17=2,IF('stringopbouw advies'!$Q$15=1,"DXc 25-150 kW",""))))</f>
        <v>0</v>
      </c>
      <c r="E26" s="46" t="str">
        <f>IF($B26="","",IF(Vragenlijst!$D$7="","niet relevant",Vragenlijst!$D$7))</f>
        <v>niet relevant</v>
      </c>
      <c r="F26" s="46" t="str">
        <f>""</f>
        <v/>
      </c>
      <c r="G26" s="46" t="str">
        <f>""</f>
        <v/>
      </c>
      <c r="H26" s="46" t="str">
        <f>""</f>
        <v/>
      </c>
      <c r="I26" s="46" t="str">
        <f>""</f>
        <v/>
      </c>
      <c r="J26" s="46">
        <f>IF(OR($B$12="nee, bij voorkeur een alternatief F-gas",$B$12="nee, houdt liefst hetzelfde F-gas"),"",IF($B26="","",adviesopties!D11))</f>
        <v>1</v>
      </c>
      <c r="K26" s="46" t="str">
        <f>""</f>
        <v/>
      </c>
      <c r="L26" s="101">
        <f>IF(OR($B$12="nee, bij voorkeur een alternatief F-gas",$B$12="nee, houdt liefst hetzelfde F-gas"),"",IF($B26="","",adviesopties!G11))</f>
        <v>1</v>
      </c>
      <c r="M26" s="89"/>
      <c r="O26" s="138" t="str">
        <v>4b2</v>
      </c>
      <c r="P26" s="50" t="str">
        <v>Advies: Volledige vervanging naar natuurlijke middelen:DXc: zonder CO2</v>
      </c>
      <c r="Q26" s="50">
        <v>0</v>
      </c>
      <c r="R26" s="50" t="b">
        <v>0</v>
      </c>
      <c r="S26" s="50" t="str">
        <v>niet relevant</v>
      </c>
      <c r="T26" s="50" t="str">
        <v/>
      </c>
      <c r="U26" s="50" t="str">
        <v/>
      </c>
      <c r="V26" s="50" t="str">
        <v/>
      </c>
      <c r="W26" s="50" t="str">
        <v/>
      </c>
      <c r="X26" s="50">
        <v>1</v>
      </c>
      <c r="Y26" s="50" t="str">
        <v/>
      </c>
      <c r="Z26" s="50">
        <v>1</v>
      </c>
    </row>
    <row r="27" spans="1:26" ht="30" x14ac:dyDescent="0.25">
      <c r="A27" s="100" t="s">
        <v>69</v>
      </c>
      <c r="B27" s="56" t="str">
        <f>IF('stringopbouw advies'!J22=0,adviesopties!B12,"")</f>
        <v>Advies: Volledige vervanging naar natuurlijke middelen: DPS: met CO2</v>
      </c>
      <c r="C27" s="55">
        <f>IF(B27="","",Vragenlijst!$D$13)</f>
        <v>0</v>
      </c>
      <c r="D27" s="55" t="str">
        <f>IF(B27="","",IF('stringopbouw advies'!$Q$17=1,IF('stringopbouw advies'!$Q$15=3,"DPS 150-500 kW",IF('stringopbouw advies'!$Q$15=4,"DPS &gt;500 kW","")),IF('stringopbouw advies'!$Q$17=3,"DPS 150-500 kW",IF('stringopbouw advies'!$Q$17=5,"DPS &gt;500 kW",IF('stringopbouw advies'!$Q$17=7,"DPS nog meer &gt;500 kW","")))))</f>
        <v/>
      </c>
      <c r="E27" s="46" t="str">
        <f>IF($B27="","",IF(Vragenlijst!$D$7="","niet relevant",Vragenlijst!$D$7))</f>
        <v>niet relevant</v>
      </c>
      <c r="F27" s="46" t="str">
        <f>""</f>
        <v/>
      </c>
      <c r="G27" s="46" t="str">
        <f>""</f>
        <v/>
      </c>
      <c r="H27" s="46" t="str">
        <f>""</f>
        <v/>
      </c>
      <c r="I27" s="46" t="str">
        <f>""</f>
        <v/>
      </c>
      <c r="J27" s="46" t="str">
        <f>""</f>
        <v/>
      </c>
      <c r="K27" s="46">
        <f>IF(OR($B$12="nee, bij voorkeur een alternatief F-gas",$B$12="nee, houdt liefst hetzelfde F-gas"),"",IF($B27="","",IF(AND(OR('stringopbouw advies'!E8="4b",'stringopbouw advies'!E8="4c"),'stringopbouw advies'!H8="7f"),"",IF('stringopbouw advies'!K12="10b",adviesopties!F12,adviesopties!E12))))</f>
        <v>1</v>
      </c>
      <c r="L27" s="101">
        <f>IF(OR($B$12="nee, bij voorkeur een alternatief F-gas",$B$12="nee, houdt liefst hetzelfde F-gas"),"",IF($B27="","",adviesopties!G12))</f>
        <v>1</v>
      </c>
      <c r="M27" s="89"/>
      <c r="O27" s="138" t="str">
        <v>4c1</v>
      </c>
      <c r="P27" s="50" t="str">
        <v>Advies: Volledige vervanging naar natuurlijke middelen: DPS: met CO2</v>
      </c>
      <c r="Q27" s="50">
        <v>0</v>
      </c>
      <c r="R27" s="50" t="str">
        <v/>
      </c>
      <c r="S27" s="50" t="str">
        <v>niet relevant</v>
      </c>
      <c r="T27" s="50" t="str">
        <v/>
      </c>
      <c r="U27" s="50" t="str">
        <v/>
      </c>
      <c r="V27" s="50" t="str">
        <v/>
      </c>
      <c r="W27" s="50" t="str">
        <v/>
      </c>
      <c r="X27" s="50" t="str">
        <v/>
      </c>
      <c r="Y27" s="50">
        <v>1</v>
      </c>
      <c r="Z27" s="50">
        <v>1</v>
      </c>
    </row>
    <row r="28" spans="1:26" ht="30" x14ac:dyDescent="0.25">
      <c r="A28" s="100" t="s">
        <v>70</v>
      </c>
      <c r="B28" s="56" t="str">
        <f>IF('stringopbouw advies'!K22=0,adviesopties!B13,"")</f>
        <v>Advies: Volledige vervanging naar natuurlijke middelen: DPS: zonder CO2</v>
      </c>
      <c r="C28" s="55">
        <f>IF(B28="","",Vragenlijst!$D$13)</f>
        <v>0</v>
      </c>
      <c r="D28" s="55" t="str">
        <f>IF(B28="","",IF('stringopbouw advies'!$Q$17=1,IF('stringopbouw advies'!$Q$15=3,"DPS 150-500 kW",IF('stringopbouw advies'!$Q$15=4,"DPS &gt;500 kW","")),IF('stringopbouw advies'!$Q$17=3,"DPS 150-500 kW",IF('stringopbouw advies'!$Q$17=5,"DPS &gt;500 kW",IF('stringopbouw advies'!$Q$17=7,"DPS nog meer &gt;500 kW","")))))</f>
        <v/>
      </c>
      <c r="E28" s="46" t="str">
        <f>IF($B28="","",IF(Vragenlijst!$D$7="","niet relevant",Vragenlijst!$D$7))</f>
        <v>niet relevant</v>
      </c>
      <c r="F28" s="46" t="str">
        <f>""</f>
        <v/>
      </c>
      <c r="G28" s="46" t="str">
        <f>""</f>
        <v/>
      </c>
      <c r="H28" s="46" t="str">
        <f>""</f>
        <v/>
      </c>
      <c r="I28" s="46" t="str">
        <f>""</f>
        <v/>
      </c>
      <c r="J28" s="46" t="str">
        <f>""</f>
        <v/>
      </c>
      <c r="K28" s="46" t="str">
        <f>""</f>
        <v/>
      </c>
      <c r="L28" s="101">
        <f>IF(OR($B$12="nee, bij voorkeur een alternatief F-gas",$B$12="nee, houdt liefst hetzelfde F-gas"),"",IF($B28="","",adviesopties!G13))</f>
        <v>1</v>
      </c>
      <c r="M28" s="89"/>
      <c r="O28" s="138" t="str">
        <v>4c2</v>
      </c>
      <c r="P28" s="50" t="str">
        <v>Advies: Volledige vervanging naar natuurlijke middelen: DPS: zonder CO2</v>
      </c>
      <c r="Q28" s="50">
        <v>0</v>
      </c>
      <c r="R28" s="50" t="str">
        <v/>
      </c>
      <c r="S28" s="50" t="str">
        <v>niet relevant</v>
      </c>
      <c r="T28" s="50" t="str">
        <v/>
      </c>
      <c r="U28" s="50" t="str">
        <v/>
      </c>
      <c r="V28" s="50" t="str">
        <v/>
      </c>
      <c r="W28" s="50" t="str">
        <v/>
      </c>
      <c r="X28" s="50" t="str">
        <v/>
      </c>
      <c r="Y28" s="50" t="str">
        <v/>
      </c>
      <c r="Z28" s="50">
        <v>1</v>
      </c>
    </row>
    <row r="29" spans="1:26" ht="30" x14ac:dyDescent="0.25">
      <c r="A29" s="100" t="s">
        <v>71</v>
      </c>
      <c r="B29" s="56" t="str">
        <f>IF('stringopbouw advies'!L22=0,adviesopties!B14,"")</f>
        <v>Advies: Volledige vervanging naar natuurlijke middelen: IDPS: met CO2</v>
      </c>
      <c r="C29" s="55">
        <f>IF(B29="","",Vragenlijst!$D$13)</f>
        <v>0</v>
      </c>
      <c r="D29" s="55" t="b">
        <f>IF(B29="","",IF('stringopbouw advies'!$Q$17=1,IF('stringopbouw advies'!$Q$15=3,"IDPS 150-500 kW",IF('stringopbouw advies'!$Q$15=4,"IDPS &gt;500 kW",IF('stringopbouw advies'!$Q$15=5,"IDPS 150-500 kW",IF('stringopbouw advies'!$Q$15=6,"IDPS &gt;500 kW","")))),IF('stringopbouw advies'!$Q$17=4,"IDPS 150-500 kW",IF('stringopbouw advies'!$Q$17=6,"IDPS &gt;500 kW"))))</f>
        <v>0</v>
      </c>
      <c r="E29" s="46" t="str">
        <f>IF($B29="","",IF(Vragenlijst!$D$7="","niet relevant",Vragenlijst!$D$7))</f>
        <v>niet relevant</v>
      </c>
      <c r="F29" s="46" t="str">
        <f>""</f>
        <v/>
      </c>
      <c r="G29" s="46" t="str">
        <f>""</f>
        <v/>
      </c>
      <c r="H29" s="46" t="str">
        <f>""</f>
        <v/>
      </c>
      <c r="I29" s="46" t="str">
        <f>""</f>
        <v/>
      </c>
      <c r="J29" s="46">
        <f>IF(OR($B$12="nee, bij voorkeur een alternatief F-gas",$B$12="nee, houdt liefst hetzelfde F-gas"),"",IF($B29="","",IF('stringopbouw advies'!$H$4="7g","alleen als 2x 250 kW",adviesopties!D14)))</f>
        <v>1</v>
      </c>
      <c r="K29" s="46">
        <f>IF(OR($B$12="nee, bij voorkeur een alternatief F-gas",$B$12="nee, houdt liefst hetzelfde F-gas"),"",IF($B29="","",IF('stringopbouw advies'!K14="10b",adviesopties!F14,adviesopties!E14)))</f>
        <v>1</v>
      </c>
      <c r="L29" s="101">
        <f>IF(OR($B$12="nee, bij voorkeur een alternatief F-gas",$B$12="nee, houdt liefst hetzelfde F-gas"),"",IF($B29="","",adviesopties!G14))</f>
        <v>1</v>
      </c>
      <c r="M29" s="89"/>
      <c r="O29" s="138" t="str">
        <v>4d1</v>
      </c>
      <c r="P29" s="50" t="str">
        <v>Advies: Volledige vervanging naar natuurlijke middelen: IDPS: met CO2</v>
      </c>
      <c r="Q29" s="50">
        <v>0</v>
      </c>
      <c r="R29" s="50" t="b">
        <v>0</v>
      </c>
      <c r="S29" s="50" t="str">
        <v>niet relevant</v>
      </c>
      <c r="T29" s="50" t="str">
        <v/>
      </c>
      <c r="U29" s="50" t="str">
        <v/>
      </c>
      <c r="V29" s="50" t="str">
        <v/>
      </c>
      <c r="W29" s="50" t="str">
        <v/>
      </c>
      <c r="X29" s="50">
        <v>1</v>
      </c>
      <c r="Y29" s="50">
        <v>1</v>
      </c>
      <c r="Z29" s="50">
        <v>1</v>
      </c>
    </row>
    <row r="30" spans="1:26" ht="30" x14ac:dyDescent="0.25">
      <c r="A30" s="100" t="s">
        <v>72</v>
      </c>
      <c r="B30" s="56" t="str">
        <f>IF('stringopbouw advies'!M22=0,adviesopties!B15,"")</f>
        <v>Advies: Volledige vervanging naar natuurlijke middelen: IDPS: zonder CO2</v>
      </c>
      <c r="C30" s="55">
        <f>IF(B30="","",Vragenlijst!$D$13)</f>
        <v>0</v>
      </c>
      <c r="D30" s="55" t="b">
        <f>IF(B30="","",IF('stringopbouw advies'!$Q$17=1,IF('stringopbouw advies'!$Q$15=3,"IDPS 150-500 kW",IF('stringopbouw advies'!$Q$15=4,"IDPS &gt;500 kW",IF('stringopbouw advies'!$Q$15=5,"IDPS 150-500 kW",IF('stringopbouw advies'!$Q$15=6,"IDPS &gt;500 kW","")))),IF('stringopbouw advies'!$Q$17=4,"IDPS 150-500 kW",IF('stringopbouw advies'!$Q$17=6,"IDPS &gt;500 kW"))))</f>
        <v>0</v>
      </c>
      <c r="E30" s="46" t="str">
        <f>IF($B30="","",IF(Vragenlijst!$D$7="","niet relevant",Vragenlijst!$D$7))</f>
        <v>niet relevant</v>
      </c>
      <c r="F30" s="46" t="str">
        <f>""</f>
        <v/>
      </c>
      <c r="G30" s="46" t="str">
        <f>""</f>
        <v/>
      </c>
      <c r="H30" s="46" t="str">
        <f>""</f>
        <v/>
      </c>
      <c r="I30" s="46" t="str">
        <f>""</f>
        <v/>
      </c>
      <c r="J30" s="46">
        <f>IF(OR($B$12="nee, bij voorkeur een alternatief F-gas",$B$12="nee, houdt liefst hetzelfde F-gas"),"",IF($B30="","",IF(OR('stringopbouw advies'!$H$4="7f",'stringopbouw advies'!$H$4="7g"),"alleen als 2x 250 kW",IF(AND(OR('stringopbouw advies'!E4="4b",'stringopbouw advies'!E4="4c"),'stringopbouw advies'!H4="7f"),"",adviesopties!D15))))</f>
        <v>1</v>
      </c>
      <c r="K30" s="46" t="str">
        <f>""</f>
        <v/>
      </c>
      <c r="L30" s="101">
        <f>IF(OR($B$12="nee, bij voorkeur een alternatief F-gas",$B$12="nee, houdt liefst hetzelfde F-gas"),"",IF($B30="","",adviesopties!G15))</f>
        <v>1</v>
      </c>
      <c r="M30" s="89"/>
      <c r="O30" s="138" t="str">
        <v>4d2</v>
      </c>
      <c r="P30" s="50" t="str">
        <v>Advies: Volledige vervanging naar natuurlijke middelen: IDPS: zonder CO2</v>
      </c>
      <c r="Q30" s="50">
        <v>0</v>
      </c>
      <c r="R30" s="50" t="b">
        <v>0</v>
      </c>
      <c r="S30" s="50" t="str">
        <v>niet relevant</v>
      </c>
      <c r="T30" s="50" t="str">
        <v/>
      </c>
      <c r="U30" s="50" t="str">
        <v/>
      </c>
      <c r="V30" s="50" t="str">
        <v/>
      </c>
      <c r="W30" s="50" t="str">
        <v/>
      </c>
      <c r="X30" s="50">
        <v>1</v>
      </c>
      <c r="Y30" s="50" t="str">
        <v/>
      </c>
      <c r="Z30" s="50">
        <v>1</v>
      </c>
    </row>
    <row r="31" spans="1:26" ht="30" x14ac:dyDescent="0.25">
      <c r="A31" s="100">
        <v>5</v>
      </c>
      <c r="B31" s="56" t="str">
        <f>IF('stringopbouw advies'!N22=0,adviesopties!B16,"")</f>
        <v>Advies: Behoud van huidige systeem, na 2030 gebruik maken van gerecycled koudemiddel, let op de opkomende PFAS wetgeving.</v>
      </c>
      <c r="C31" s="55">
        <f>IF(B31="","",Vragenlijst!$D$13)</f>
        <v>0</v>
      </c>
      <c r="D31" s="55" t="str">
        <f>IF(B31="","","zelfde systeem")</f>
        <v>zelfde systeem</v>
      </c>
      <c r="E31" s="46" t="str">
        <f>IF($B31="","",IF(Vragenlijst!$D$7="","niet relevant",Vragenlijst!$D$7))</f>
        <v>niet relevant</v>
      </c>
      <c r="F31" s="46" t="str">
        <f>IF(E31="","",IF($B$12="nee, houdt liefst hetzelfde F-gas","geen alternatief F-gas gewenst",""))</f>
        <v/>
      </c>
      <c r="G31" s="46" t="str">
        <f>IF(E31="","",IF($B$12="nee, houdt liefst hetzelfde F-gas","",""))</f>
        <v/>
      </c>
      <c r="H31" s="46" t="str">
        <f>IF(E31="","",IF($B$12="nee, houdt liefst hetzelfde F-gas","",""))</f>
        <v/>
      </c>
      <c r="I31" s="46" t="str">
        <f>IF(E31="","",IF($B$12="nee, houdt liefst hetzelfde F-gas","",""))</f>
        <v/>
      </c>
      <c r="J31" s="46" t="str">
        <f>""</f>
        <v/>
      </c>
      <c r="K31" s="46" t="str">
        <f>""</f>
        <v/>
      </c>
      <c r="L31" s="46" t="str">
        <f>""</f>
        <v/>
      </c>
      <c r="M31" s="89"/>
      <c r="O31" s="138">
        <v>5</v>
      </c>
      <c r="P31" s="50" t="str">
        <v>Advies: Behoud van huidige systeem, na 2030 gebruik maken van gerecycled koudemiddel, let op de opkomende PFAS wetgeving.</v>
      </c>
      <c r="Q31" s="50">
        <v>0</v>
      </c>
      <c r="R31" s="50" t="str">
        <v>zelfde systeem</v>
      </c>
      <c r="S31" s="50" t="str">
        <v>niet relevant</v>
      </c>
      <c r="T31" s="50" t="str">
        <v/>
      </c>
      <c r="U31" s="50" t="str">
        <v/>
      </c>
      <c r="V31" s="50" t="str">
        <v/>
      </c>
      <c r="W31" s="50" t="str">
        <v/>
      </c>
      <c r="X31" s="50" t="str">
        <v/>
      </c>
      <c r="Y31" s="50" t="str">
        <v/>
      </c>
      <c r="Z31" s="50" t="str">
        <v/>
      </c>
    </row>
    <row r="32" spans="1:26" x14ac:dyDescent="0.25">
      <c r="A32" s="100">
        <v>6</v>
      </c>
      <c r="B32" s="56" t="str">
        <f>IF('stringopbouw advies'!O22=0,adviesopties!B17,"")</f>
        <v/>
      </c>
      <c r="C32" s="55" t="str">
        <f>IF(B32="","",Vragenlijst!$D$13)</f>
        <v/>
      </c>
      <c r="D32" s="55" t="str">
        <f>IF(B32="","",IF('stringopbouw advies'!$Q$17=1,IF('stringopbouw advies'!$Q$15=1,"Dxe",IF('stringopbouw advies'!$Q$15=2,"DXc 25-150 kW",IF('stringopbouw advies'!$Q$15=3,"DPS 150-500 kW of IDPS 150-500 kW",IF('stringopbouw advies'!$Q$15=4,"DPS &gt;500 kW of IDPS &gt;500 kW",IF('stringopbouw advies'!$Q$15=5,"IDPS 150-500 kW",IF('stringopbouw advies'!$Q$15=6,"IDPS &gt;500 kW","")))))),IF('stringopbouw advies'!$Q$17=2,IF('stringopbouw advies'!$Q$15=2,"DXc 25-150 kW",""),IF('stringopbouw advies'!$Q$17=3,"DPS 150-500 kW",IF('stringopbouw advies'!$Q$17=4,"IDPS 150-500 kW",IF('stringopbouw advies'!$Q$17=5,"DPS &gt;500 kW",IF('stringopbouw advies'!$Q$17=6,"IDPS &gt;500 kW",IF('stringopbouw advies'!$Q$17=7,"DPS nog meer &gt;500kW",IF('stringopbouw advies'!$Q$17=8,"IDPS nog meer &gt;500kW","")))))))))</f>
        <v/>
      </c>
      <c r="E32" s="46" t="str">
        <f>IF($B32="","",IF(Vragenlijst!$D$7="","niet relevant",Vragenlijst!$D$7))</f>
        <v/>
      </c>
      <c r="F32" s="46" t="str">
        <f>IF(E32="","",IF($B$12="nee, bij voorkeur een alternatief F-gas",IF(VLOOKUP(E32,koudemiddelen!$A$4:$J$12,3,FALSE)="","",VLOOKUP(E32,koudemiddelen!$A$4:$J$12,3,FALSE)),""))</f>
        <v/>
      </c>
      <c r="G32" s="46" t="str">
        <f>IF(E32="","",IF($B$12="nee, bij voorkeur een alternatief F-gas",IF(VLOOKUP(E32,koudemiddelen!$A$4:$J$12,5,FALSE)="","",VLOOKUP(E32,koudemiddelen!$A$4:$J$12,5,FALSE)),""))</f>
        <v/>
      </c>
      <c r="H32" s="46" t="str">
        <f>IF(E32="","",IF($B$12="nee, bij voorkeur een alternatief F-gas",IF(VLOOKUP(E32,koudemiddelen!$A$4:$J$12,7,FALSE)="","",VLOOKUP(E32,koudemiddelen!$A$4:$J$12,7,FALSE)),""))</f>
        <v/>
      </c>
      <c r="I32" s="46" t="str">
        <f>IF(E32="","",IF($B$12="nee, bij voorkeur een alternatief F-gas",IF(VLOOKUP(E32,koudemiddelen!$A$4:$J$12,9,FALSE)="","",VLOOKUP(E32,koudemiddelen!$A$4:$J$12,9,FALSE)),""))</f>
        <v/>
      </c>
      <c r="J32" s="151" t="str">
        <f>IF(OR($B$12="nee, bij voorkeur een alternatief F-gas",$B$12="nee, houdt liefst hetzelfde F-gas"),"",IF($B32="","",adviesopties!D17))</f>
        <v/>
      </c>
      <c r="K32" s="151" t="str">
        <f>IF(OR($B$12="nee, bij voorkeur een alternatief F-gas",$B$12="nee, houdt liefst hetzelfde F-gas"),"",IF($B32="","",IF('stringopbouw advies'!K17="10b",adviesopties!F17,adviesopties!E17)))</f>
        <v/>
      </c>
      <c r="L32" s="152" t="str">
        <f>IF(OR($B$12="nee, bij voorkeur een alternatief F-gas",$B$12="nee, houdt liefst hetzelfde F-gas"),"",IF($B32="","",adviesopties!G17))</f>
        <v/>
      </c>
      <c r="M32" s="89"/>
    </row>
    <row r="33" spans="1:17" x14ac:dyDescent="0.25">
      <c r="A33" s="100">
        <v>7</v>
      </c>
      <c r="B33" s="56" t="str">
        <f>IF('stringopbouw advies'!P22=0,adviesopties!B18,"")</f>
        <v/>
      </c>
      <c r="C33" s="55" t="str">
        <f>IF(B33="","",Vragenlijst!$D$13)</f>
        <v/>
      </c>
      <c r="D33" s="55" t="str">
        <f>""</f>
        <v/>
      </c>
      <c r="E33" s="46" t="str">
        <f>IF($B33="","",IF(Vragenlijst!$D$7="","niet relevant",Vragenlijst!$D$7))</f>
        <v/>
      </c>
      <c r="F33" s="46" t="str">
        <f>""</f>
        <v/>
      </c>
      <c r="G33" s="46" t="str">
        <f>""</f>
        <v/>
      </c>
      <c r="H33" s="46" t="str">
        <f>""</f>
        <v/>
      </c>
      <c r="I33" s="46" t="str">
        <f>""</f>
        <v/>
      </c>
      <c r="J33" s="46" t="str">
        <f>""</f>
        <v/>
      </c>
      <c r="K33" s="46" t="str">
        <f>""</f>
        <v/>
      </c>
      <c r="L33" s="46" t="str">
        <f>""</f>
        <v/>
      </c>
      <c r="M33" s="89"/>
    </row>
    <row r="34" spans="1:17" x14ac:dyDescent="0.25">
      <c r="A34" s="102" t="s">
        <v>80</v>
      </c>
      <c r="B34" s="103"/>
      <c r="C34" s="104"/>
      <c r="D34" s="55"/>
      <c r="E34" s="99"/>
      <c r="F34" s="99"/>
      <c r="G34" s="99"/>
      <c r="H34" s="99"/>
      <c r="I34" s="99"/>
      <c r="J34" s="105"/>
      <c r="K34" s="105"/>
      <c r="L34" s="106"/>
      <c r="M34" s="89"/>
    </row>
    <row r="35" spans="1:17" ht="54.75" x14ac:dyDescent="0.25">
      <c r="A35" s="91" t="s">
        <v>81</v>
      </c>
      <c r="B35" s="92"/>
      <c r="M35" s="89"/>
    </row>
    <row r="36" spans="1:17" ht="18" x14ac:dyDescent="0.25">
      <c r="A36" s="91"/>
      <c r="B36" s="92"/>
      <c r="H36" s="50" t="s">
        <v>179</v>
      </c>
      <c r="I36" s="57" t="s">
        <v>178</v>
      </c>
      <c r="M36" s="89"/>
    </row>
    <row r="37" spans="1:17" ht="23.25" x14ac:dyDescent="0.25">
      <c r="A37" s="93" t="s">
        <v>82</v>
      </c>
      <c r="B37" s="94"/>
      <c r="H37" s="58" t="s">
        <v>180</v>
      </c>
      <c r="M37" s="89"/>
    </row>
    <row r="38" spans="1:17" ht="81" x14ac:dyDescent="0.25">
      <c r="A38" s="93" t="s">
        <v>83</v>
      </c>
      <c r="B38" s="94"/>
      <c r="M38" s="89"/>
    </row>
    <row r="39" spans="1:17" ht="25.5" x14ac:dyDescent="0.25">
      <c r="A39" s="93" t="s">
        <v>84</v>
      </c>
      <c r="B39" s="94"/>
      <c r="M39" s="89"/>
    </row>
    <row r="40" spans="1:17" ht="26.25" thickBot="1" x14ac:dyDescent="0.3">
      <c r="A40" s="95" t="s">
        <v>85</v>
      </c>
      <c r="B40" s="96"/>
      <c r="M40" s="89"/>
    </row>
    <row r="41" spans="1:17" x14ac:dyDescent="0.25">
      <c r="A41" s="88"/>
      <c r="B41" s="88"/>
      <c r="C41" s="88"/>
      <c r="D41" s="88"/>
      <c r="E41" s="89"/>
      <c r="F41" s="89"/>
      <c r="G41" s="89"/>
      <c r="H41" s="89"/>
      <c r="I41" s="89"/>
      <c r="J41" s="89"/>
      <c r="K41" s="89"/>
      <c r="L41" s="89"/>
      <c r="M41" s="89"/>
    </row>
    <row r="42" spans="1:17" ht="15.75" thickBot="1" x14ac:dyDescent="0.3"/>
    <row r="43" spans="1:17" x14ac:dyDescent="0.25">
      <c r="A43" s="270" t="s">
        <v>144</v>
      </c>
      <c r="B43" s="271"/>
      <c r="C43" s="59"/>
      <c r="D43" s="60"/>
      <c r="E43" s="61"/>
      <c r="F43" s="62" t="s">
        <v>145</v>
      </c>
      <c r="G43" s="97" t="s">
        <v>146</v>
      </c>
      <c r="H43" s="98"/>
      <c r="I43" s="272" t="s">
        <v>147</v>
      </c>
      <c r="J43" s="273"/>
      <c r="K43" s="273"/>
      <c r="L43" s="273"/>
      <c r="M43" s="273"/>
      <c r="N43" s="273"/>
      <c r="O43" s="273"/>
      <c r="P43" s="273"/>
      <c r="Q43" s="274"/>
    </row>
    <row r="44" spans="1:17" x14ac:dyDescent="0.25">
      <c r="A44" s="270"/>
      <c r="B44" s="271"/>
      <c r="C44" s="63"/>
      <c r="D44" s="64"/>
      <c r="E44" s="65"/>
      <c r="F44" s="281" t="s">
        <v>156</v>
      </c>
      <c r="G44" s="283" t="s">
        <v>157</v>
      </c>
      <c r="H44" s="283" t="s">
        <v>158</v>
      </c>
      <c r="I44" s="275" t="s">
        <v>148</v>
      </c>
      <c r="J44" s="276"/>
      <c r="K44" s="275" t="s">
        <v>149</v>
      </c>
      <c r="L44" s="276"/>
      <c r="M44" s="275" t="s">
        <v>150</v>
      </c>
      <c r="N44" s="276"/>
      <c r="O44" s="275" t="s">
        <v>151</v>
      </c>
      <c r="P44" s="277"/>
      <c r="Q44" s="276"/>
    </row>
    <row r="45" spans="1:17" s="49" customFormat="1" ht="87" thickBot="1" x14ac:dyDescent="0.3">
      <c r="A45" s="66" t="s">
        <v>152</v>
      </c>
      <c r="B45" s="67" t="s">
        <v>153</v>
      </c>
      <c r="C45" s="68"/>
      <c r="D45" s="68" t="s">
        <v>154</v>
      </c>
      <c r="E45" s="69" t="s">
        <v>155</v>
      </c>
      <c r="F45" s="282"/>
      <c r="G45" s="284"/>
      <c r="H45" s="284"/>
      <c r="I45" s="71" t="s">
        <v>102</v>
      </c>
      <c r="J45" s="72" t="s">
        <v>103</v>
      </c>
      <c r="K45" s="70" t="s">
        <v>103</v>
      </c>
      <c r="L45" s="73" t="s">
        <v>104</v>
      </c>
      <c r="M45" s="72" t="s">
        <v>102</v>
      </c>
      <c r="N45" s="72" t="s">
        <v>104</v>
      </c>
      <c r="O45" s="139" t="s">
        <v>102</v>
      </c>
      <c r="P45" s="73" t="s">
        <v>103</v>
      </c>
      <c r="Q45" s="73" t="s">
        <v>104</v>
      </c>
    </row>
    <row r="46" spans="1:17" x14ac:dyDescent="0.25">
      <c r="A46" s="74" t="s">
        <v>159</v>
      </c>
      <c r="B46" s="59" t="s">
        <v>160</v>
      </c>
      <c r="C46" s="43" t="s">
        <v>161</v>
      </c>
      <c r="D46" s="44">
        <v>0.6</v>
      </c>
      <c r="E46" s="279">
        <v>100</v>
      </c>
      <c r="F46" s="45">
        <v>30</v>
      </c>
      <c r="G46" s="255" t="s">
        <v>162</v>
      </c>
      <c r="H46" s="46">
        <v>30</v>
      </c>
      <c r="I46" s="46">
        <v>110</v>
      </c>
      <c r="J46" s="46">
        <v>135</v>
      </c>
      <c r="K46" s="255" t="s">
        <v>162</v>
      </c>
      <c r="L46" s="255" t="s">
        <v>162</v>
      </c>
      <c r="M46" s="255" t="s">
        <v>162</v>
      </c>
      <c r="N46" s="255" t="s">
        <v>162</v>
      </c>
      <c r="O46" s="252" t="s">
        <v>162</v>
      </c>
      <c r="P46" s="255" t="s">
        <v>162</v>
      </c>
      <c r="Q46" s="255" t="s">
        <v>162</v>
      </c>
    </row>
    <row r="47" spans="1:17" x14ac:dyDescent="0.25">
      <c r="A47" s="76" t="s">
        <v>163</v>
      </c>
      <c r="B47" s="147"/>
      <c r="C47" s="43" t="s">
        <v>164</v>
      </c>
      <c r="D47" s="44">
        <v>0.25</v>
      </c>
      <c r="E47" s="280"/>
      <c r="F47" s="45">
        <v>105</v>
      </c>
      <c r="G47" s="256"/>
      <c r="H47" s="46">
        <v>100</v>
      </c>
      <c r="I47" s="46">
        <v>100</v>
      </c>
      <c r="J47" s="46">
        <v>106</v>
      </c>
      <c r="K47" s="256"/>
      <c r="L47" s="256"/>
      <c r="M47" s="256"/>
      <c r="N47" s="256"/>
      <c r="O47" s="253"/>
      <c r="P47" s="256"/>
      <c r="Q47" s="256"/>
    </row>
    <row r="48" spans="1:17" ht="15.75" thickBot="1" x14ac:dyDescent="0.3">
      <c r="A48" s="77"/>
      <c r="B48" s="148"/>
      <c r="C48" s="47" t="s">
        <v>165</v>
      </c>
      <c r="D48" s="48">
        <v>0.15</v>
      </c>
      <c r="E48" s="280"/>
      <c r="F48" s="45">
        <v>110</v>
      </c>
      <c r="G48" s="257"/>
      <c r="H48" s="46">
        <v>108</v>
      </c>
      <c r="I48" s="46">
        <v>108</v>
      </c>
      <c r="J48" s="46">
        <v>125</v>
      </c>
      <c r="K48" s="257"/>
      <c r="L48" s="257"/>
      <c r="M48" s="257"/>
      <c r="N48" s="257"/>
      <c r="O48" s="254"/>
      <c r="P48" s="257"/>
      <c r="Q48" s="257"/>
    </row>
    <row r="49" spans="1:17" x14ac:dyDescent="0.25">
      <c r="A49" s="74" t="s">
        <v>166</v>
      </c>
      <c r="B49" s="59" t="s">
        <v>167</v>
      </c>
      <c r="C49" s="43" t="s">
        <v>161</v>
      </c>
      <c r="D49" s="44">
        <v>0.63</v>
      </c>
      <c r="E49" s="280"/>
      <c r="F49" s="45">
        <v>30</v>
      </c>
      <c r="G49" s="46">
        <v>70</v>
      </c>
      <c r="H49" s="46">
        <v>30</v>
      </c>
      <c r="I49" s="46">
        <v>110</v>
      </c>
      <c r="J49" s="46">
        <v>132</v>
      </c>
      <c r="K49" s="46">
        <v>155</v>
      </c>
      <c r="L49" s="46">
        <v>185</v>
      </c>
      <c r="M49" s="46">
        <v>145</v>
      </c>
      <c r="N49" s="46" t="s">
        <v>168</v>
      </c>
      <c r="O49" s="140">
        <v>140</v>
      </c>
      <c r="P49" s="46">
        <v>145</v>
      </c>
      <c r="Q49" s="46">
        <v>155</v>
      </c>
    </row>
    <row r="50" spans="1:17" x14ac:dyDescent="0.25">
      <c r="A50" s="76" t="s">
        <v>169</v>
      </c>
      <c r="B50" s="147"/>
      <c r="C50" s="43" t="s">
        <v>164</v>
      </c>
      <c r="D50" s="44">
        <v>0.25</v>
      </c>
      <c r="E50" s="280"/>
      <c r="F50" s="45">
        <v>105</v>
      </c>
      <c r="G50" s="46">
        <v>120</v>
      </c>
      <c r="H50" s="46">
        <v>100</v>
      </c>
      <c r="I50" s="46">
        <v>100</v>
      </c>
      <c r="J50" s="46">
        <v>108</v>
      </c>
      <c r="K50" s="46">
        <v>110</v>
      </c>
      <c r="L50" s="46">
        <v>100</v>
      </c>
      <c r="M50" s="46">
        <v>107</v>
      </c>
      <c r="N50" s="46">
        <v>103</v>
      </c>
      <c r="O50" s="140">
        <v>110</v>
      </c>
      <c r="P50" s="46">
        <v>116</v>
      </c>
      <c r="Q50" s="46">
        <v>108</v>
      </c>
    </row>
    <row r="51" spans="1:17" ht="15.75" thickBot="1" x14ac:dyDescent="0.3">
      <c r="A51" s="77"/>
      <c r="B51" s="148"/>
      <c r="C51" s="47" t="s">
        <v>165</v>
      </c>
      <c r="D51" s="48">
        <v>0.12</v>
      </c>
      <c r="E51" s="280"/>
      <c r="F51" s="45">
        <v>110</v>
      </c>
      <c r="G51" s="46">
        <v>105</v>
      </c>
      <c r="H51" s="46">
        <v>108</v>
      </c>
      <c r="I51" s="46">
        <v>108</v>
      </c>
      <c r="J51" s="46">
        <v>110</v>
      </c>
      <c r="K51" s="46">
        <v>110</v>
      </c>
      <c r="L51" s="46">
        <v>108</v>
      </c>
      <c r="M51" s="46">
        <v>109</v>
      </c>
      <c r="N51" s="46">
        <v>108</v>
      </c>
      <c r="O51" s="140">
        <v>120</v>
      </c>
      <c r="P51" s="46">
        <v>123</v>
      </c>
      <c r="Q51" s="46">
        <v>122</v>
      </c>
    </row>
    <row r="52" spans="1:17" x14ac:dyDescent="0.25">
      <c r="A52" s="74" t="s">
        <v>170</v>
      </c>
      <c r="B52" s="59" t="s">
        <v>171</v>
      </c>
      <c r="C52" s="43" t="s">
        <v>161</v>
      </c>
      <c r="D52" s="44">
        <v>0.63</v>
      </c>
      <c r="E52" s="280"/>
      <c r="F52" s="258" t="s">
        <v>162</v>
      </c>
      <c r="G52" s="255" t="s">
        <v>162</v>
      </c>
      <c r="H52" s="255" t="s">
        <v>162</v>
      </c>
      <c r="I52" s="255" t="s">
        <v>162</v>
      </c>
      <c r="J52" s="46">
        <v>125</v>
      </c>
      <c r="K52" s="46">
        <v>145</v>
      </c>
      <c r="L52" s="46">
        <v>160</v>
      </c>
      <c r="M52" s="46">
        <v>140</v>
      </c>
      <c r="N52" s="46">
        <v>155</v>
      </c>
      <c r="O52" s="140">
        <v>140</v>
      </c>
      <c r="P52" s="46">
        <v>145</v>
      </c>
      <c r="Q52" s="46">
        <v>155</v>
      </c>
    </row>
    <row r="53" spans="1:17" x14ac:dyDescent="0.25">
      <c r="A53" s="76" t="s">
        <v>172</v>
      </c>
      <c r="B53" s="147"/>
      <c r="C53" s="43" t="s">
        <v>164</v>
      </c>
      <c r="D53" s="44">
        <v>0.27</v>
      </c>
      <c r="E53" s="280"/>
      <c r="F53" s="259"/>
      <c r="G53" s="256"/>
      <c r="H53" s="256"/>
      <c r="I53" s="256"/>
      <c r="J53" s="46">
        <v>108</v>
      </c>
      <c r="K53" s="46">
        <v>110</v>
      </c>
      <c r="L53" s="46">
        <v>100</v>
      </c>
      <c r="M53" s="46">
        <v>107</v>
      </c>
      <c r="N53" s="46">
        <v>103</v>
      </c>
      <c r="O53" s="140">
        <v>110</v>
      </c>
      <c r="P53" s="46">
        <v>116</v>
      </c>
      <c r="Q53" s="46">
        <v>108</v>
      </c>
    </row>
    <row r="54" spans="1:17" ht="15.75" thickBot="1" x14ac:dyDescent="0.3">
      <c r="A54" s="77"/>
      <c r="B54" s="148"/>
      <c r="C54" s="47" t="s">
        <v>165</v>
      </c>
      <c r="D54" s="48">
        <v>0.1</v>
      </c>
      <c r="E54" s="280"/>
      <c r="F54" s="260"/>
      <c r="G54" s="257"/>
      <c r="H54" s="257"/>
      <c r="I54" s="257"/>
      <c r="J54" s="46">
        <v>112</v>
      </c>
      <c r="K54" s="46">
        <v>108</v>
      </c>
      <c r="L54" s="46">
        <v>108</v>
      </c>
      <c r="M54" s="46">
        <v>109</v>
      </c>
      <c r="N54" s="46">
        <v>108</v>
      </c>
      <c r="O54" s="140">
        <v>120</v>
      </c>
      <c r="P54" s="46">
        <v>123</v>
      </c>
      <c r="Q54" s="46">
        <v>122</v>
      </c>
    </row>
    <row r="55" spans="1:17" x14ac:dyDescent="0.25">
      <c r="A55" s="74" t="s">
        <v>173</v>
      </c>
      <c r="B55" s="59" t="s">
        <v>171</v>
      </c>
      <c r="C55" s="43" t="s">
        <v>161</v>
      </c>
      <c r="D55" s="44">
        <v>0.63</v>
      </c>
      <c r="E55" s="280"/>
      <c r="F55" s="258" t="s">
        <v>162</v>
      </c>
      <c r="G55" s="255" t="s">
        <v>162</v>
      </c>
      <c r="H55" s="255" t="s">
        <v>162</v>
      </c>
      <c r="I55" s="255" t="s">
        <v>162</v>
      </c>
      <c r="J55" s="46">
        <v>125</v>
      </c>
      <c r="K55" s="46">
        <v>140</v>
      </c>
      <c r="L55" s="46">
        <v>155</v>
      </c>
      <c r="M55" s="46">
        <v>135</v>
      </c>
      <c r="N55" s="46">
        <v>150</v>
      </c>
      <c r="O55" s="140">
        <v>140</v>
      </c>
      <c r="P55" s="46">
        <v>145</v>
      </c>
      <c r="Q55" s="46">
        <v>155</v>
      </c>
    </row>
    <row r="56" spans="1:17" x14ac:dyDescent="0.25">
      <c r="A56" s="76" t="s">
        <v>174</v>
      </c>
      <c r="B56" s="147"/>
      <c r="C56" s="43" t="s">
        <v>164</v>
      </c>
      <c r="D56" s="44">
        <v>0.27</v>
      </c>
      <c r="E56" s="280"/>
      <c r="F56" s="259"/>
      <c r="G56" s="256"/>
      <c r="H56" s="256"/>
      <c r="I56" s="256"/>
      <c r="J56" s="46">
        <v>108</v>
      </c>
      <c r="K56" s="46">
        <v>110</v>
      </c>
      <c r="L56" s="46">
        <v>100</v>
      </c>
      <c r="M56" s="46">
        <v>107</v>
      </c>
      <c r="N56" s="46">
        <v>103</v>
      </c>
      <c r="O56" s="140">
        <v>110</v>
      </c>
      <c r="P56" s="46">
        <v>116</v>
      </c>
      <c r="Q56" s="46">
        <v>108</v>
      </c>
    </row>
    <row r="57" spans="1:17" ht="15.75" thickBot="1" x14ac:dyDescent="0.3">
      <c r="A57" s="77"/>
      <c r="B57" s="148"/>
      <c r="C57" s="47" t="s">
        <v>165</v>
      </c>
      <c r="D57" s="48">
        <v>0.1</v>
      </c>
      <c r="E57" s="280"/>
      <c r="F57" s="260"/>
      <c r="G57" s="257"/>
      <c r="H57" s="257"/>
      <c r="I57" s="257"/>
      <c r="J57" s="46">
        <v>112</v>
      </c>
      <c r="K57" s="46">
        <v>108</v>
      </c>
      <c r="L57" s="46">
        <v>108</v>
      </c>
      <c r="M57" s="46">
        <v>109</v>
      </c>
      <c r="N57" s="46">
        <v>108</v>
      </c>
      <c r="O57" s="140">
        <v>120</v>
      </c>
      <c r="P57" s="46">
        <v>123</v>
      </c>
      <c r="Q57" s="46">
        <v>122</v>
      </c>
    </row>
    <row r="58" spans="1:17" x14ac:dyDescent="0.25">
      <c r="A58" s="74" t="s">
        <v>175</v>
      </c>
      <c r="B58" s="59" t="s">
        <v>176</v>
      </c>
      <c r="C58" s="43" t="s">
        <v>161</v>
      </c>
      <c r="D58" s="44">
        <v>0.63</v>
      </c>
      <c r="E58" s="280"/>
      <c r="F58" s="45">
        <v>30</v>
      </c>
      <c r="G58" s="255" t="s">
        <v>162</v>
      </c>
      <c r="H58" s="255" t="s">
        <v>162</v>
      </c>
      <c r="I58" s="255" t="s">
        <v>162</v>
      </c>
      <c r="J58" s="46">
        <v>125</v>
      </c>
      <c r="K58" s="255" t="s">
        <v>162</v>
      </c>
      <c r="L58" s="46">
        <v>160</v>
      </c>
      <c r="M58" s="46">
        <v>140</v>
      </c>
      <c r="N58" s="46">
        <v>155</v>
      </c>
      <c r="O58" s="140">
        <v>140</v>
      </c>
      <c r="P58" s="46">
        <v>145</v>
      </c>
      <c r="Q58" s="46">
        <v>155</v>
      </c>
    </row>
    <row r="59" spans="1:17" x14ac:dyDescent="0.25">
      <c r="A59" s="76" t="s">
        <v>174</v>
      </c>
      <c r="B59" s="147"/>
      <c r="C59" s="43" t="s">
        <v>164</v>
      </c>
      <c r="D59" s="44">
        <v>0.27</v>
      </c>
      <c r="E59" s="280"/>
      <c r="F59" s="45">
        <v>105</v>
      </c>
      <c r="G59" s="256"/>
      <c r="H59" s="256"/>
      <c r="I59" s="256"/>
      <c r="J59" s="46">
        <v>108</v>
      </c>
      <c r="K59" s="256"/>
      <c r="L59" s="46">
        <v>100</v>
      </c>
      <c r="M59" s="46">
        <v>107</v>
      </c>
      <c r="N59" s="46">
        <v>103</v>
      </c>
      <c r="O59" s="140">
        <v>110</v>
      </c>
      <c r="P59" s="46">
        <v>116</v>
      </c>
      <c r="Q59" s="46">
        <v>108</v>
      </c>
    </row>
    <row r="60" spans="1:17" ht="15.75" thickBot="1" x14ac:dyDescent="0.3">
      <c r="A60" s="77"/>
      <c r="B60" s="148"/>
      <c r="C60" s="47" t="s">
        <v>165</v>
      </c>
      <c r="D60" s="48">
        <v>0.1</v>
      </c>
      <c r="E60" s="280"/>
      <c r="F60" s="45">
        <v>110</v>
      </c>
      <c r="G60" s="257"/>
      <c r="H60" s="257"/>
      <c r="I60" s="257"/>
      <c r="J60" s="46">
        <v>112</v>
      </c>
      <c r="K60" s="257"/>
      <c r="L60" s="46">
        <v>108</v>
      </c>
      <c r="M60" s="46">
        <v>109</v>
      </c>
      <c r="N60" s="46">
        <v>108</v>
      </c>
      <c r="O60" s="140">
        <v>120</v>
      </c>
      <c r="P60" s="46">
        <v>123</v>
      </c>
      <c r="Q60" s="46">
        <v>122</v>
      </c>
    </row>
    <row r="62" spans="1:17" x14ac:dyDescent="0.25">
      <c r="A62" s="49" t="s">
        <v>199</v>
      </c>
    </row>
    <row r="63" spans="1:17" x14ac:dyDescent="0.25">
      <c r="A63" s="79" t="s">
        <v>181</v>
      </c>
      <c r="B63" s="149"/>
      <c r="C63" s="219" t="s">
        <v>182</v>
      </c>
      <c r="D63" s="219"/>
      <c r="E63" s="219"/>
      <c r="F63" s="219"/>
      <c r="G63" s="219"/>
      <c r="H63" s="219"/>
      <c r="I63" s="219"/>
      <c r="J63" s="219"/>
    </row>
    <row r="64" spans="1:17" ht="24" customHeight="1" x14ac:dyDescent="0.25">
      <c r="A64" s="80"/>
      <c r="B64" s="149"/>
      <c r="C64" s="219" t="s">
        <v>183</v>
      </c>
      <c r="D64" s="219"/>
      <c r="E64" s="219"/>
      <c r="F64" s="219"/>
      <c r="G64" s="219"/>
      <c r="H64" s="219"/>
      <c r="I64" s="219"/>
      <c r="J64" s="219"/>
    </row>
    <row r="65" spans="1:10" x14ac:dyDescent="0.25">
      <c r="A65" s="80"/>
      <c r="B65" s="149"/>
      <c r="C65" s="219" t="s">
        <v>184</v>
      </c>
      <c r="D65" s="219"/>
      <c r="E65" s="219"/>
      <c r="F65" s="219"/>
      <c r="G65" s="219"/>
      <c r="H65" s="219"/>
      <c r="I65" s="219"/>
      <c r="J65" s="219"/>
    </row>
    <row r="66" spans="1:10" ht="21.6" customHeight="1" x14ac:dyDescent="0.25">
      <c r="A66" s="79" t="s">
        <v>161</v>
      </c>
      <c r="B66" s="149"/>
      <c r="C66" s="219" t="s">
        <v>185</v>
      </c>
      <c r="D66" s="219"/>
      <c r="E66" s="219"/>
      <c r="F66" s="219"/>
      <c r="G66" s="219"/>
      <c r="H66" s="219"/>
      <c r="I66" s="219"/>
      <c r="J66" s="219"/>
    </row>
    <row r="67" spans="1:10" x14ac:dyDescent="0.25">
      <c r="A67" s="79" t="s">
        <v>186</v>
      </c>
      <c r="B67" s="149"/>
      <c r="C67" s="219" t="s">
        <v>187</v>
      </c>
      <c r="D67" s="219"/>
      <c r="E67" s="219"/>
      <c r="F67" s="219"/>
      <c r="G67" s="219"/>
      <c r="H67" s="219"/>
      <c r="I67" s="219"/>
      <c r="J67" s="219"/>
    </row>
    <row r="68" spans="1:10" x14ac:dyDescent="0.25">
      <c r="A68" s="80"/>
      <c r="B68" s="149"/>
      <c r="C68" s="219" t="s">
        <v>188</v>
      </c>
      <c r="D68" s="219"/>
      <c r="E68" s="219"/>
      <c r="F68" s="219"/>
      <c r="G68" s="219"/>
      <c r="H68" s="219"/>
      <c r="I68" s="219"/>
      <c r="J68" s="219"/>
    </row>
    <row r="69" spans="1:10" x14ac:dyDescent="0.25">
      <c r="A69" s="80"/>
      <c r="B69" s="149"/>
      <c r="C69" s="219" t="s">
        <v>189</v>
      </c>
      <c r="D69" s="219"/>
      <c r="E69" s="219"/>
      <c r="F69" s="219"/>
      <c r="G69" s="219"/>
      <c r="H69" s="219"/>
      <c r="I69" s="219"/>
      <c r="J69" s="219"/>
    </row>
    <row r="70" spans="1:10" x14ac:dyDescent="0.25">
      <c r="A70" s="80"/>
      <c r="B70" s="149"/>
      <c r="C70" s="219" t="s">
        <v>190</v>
      </c>
      <c r="D70" s="219"/>
      <c r="E70" s="219"/>
      <c r="F70" s="219"/>
      <c r="G70" s="219"/>
      <c r="H70" s="219"/>
      <c r="I70" s="219"/>
      <c r="J70" s="219"/>
    </row>
    <row r="71" spans="1:10" x14ac:dyDescent="0.25">
      <c r="A71" s="80"/>
      <c r="B71" s="149"/>
      <c r="C71" s="219" t="s">
        <v>191</v>
      </c>
      <c r="D71" s="219"/>
      <c r="E71" s="219"/>
      <c r="F71" s="219"/>
      <c r="G71" s="219"/>
      <c r="H71" s="219"/>
      <c r="I71" s="219"/>
      <c r="J71" s="219"/>
    </row>
    <row r="72" spans="1:10" x14ac:dyDescent="0.25">
      <c r="A72" s="79" t="s">
        <v>192</v>
      </c>
      <c r="B72" s="149"/>
      <c r="C72" s="219" t="s">
        <v>193</v>
      </c>
      <c r="D72" s="219"/>
      <c r="E72" s="219"/>
      <c r="F72" s="219"/>
      <c r="G72" s="219"/>
      <c r="H72" s="219"/>
      <c r="I72" s="219"/>
      <c r="J72" s="219"/>
    </row>
    <row r="73" spans="1:10" x14ac:dyDescent="0.25">
      <c r="A73" s="80"/>
      <c r="B73" s="149"/>
      <c r="C73" s="219" t="s">
        <v>194</v>
      </c>
      <c r="D73" s="219"/>
      <c r="E73" s="219"/>
      <c r="F73" s="219"/>
      <c r="G73" s="219"/>
      <c r="H73" s="219"/>
      <c r="I73" s="219"/>
      <c r="J73" s="219"/>
    </row>
    <row r="74" spans="1:10" x14ac:dyDescent="0.25">
      <c r="A74" s="80"/>
      <c r="B74" s="149"/>
      <c r="C74" s="219" t="s">
        <v>195</v>
      </c>
      <c r="D74" s="219"/>
      <c r="E74" s="219"/>
      <c r="F74" s="219"/>
      <c r="G74" s="219"/>
      <c r="H74" s="219"/>
      <c r="I74" s="219"/>
      <c r="J74" s="219"/>
    </row>
    <row r="75" spans="1:10" x14ac:dyDescent="0.25">
      <c r="A75" s="80"/>
      <c r="B75" s="149"/>
      <c r="C75" s="219" t="s">
        <v>196</v>
      </c>
      <c r="D75" s="219"/>
      <c r="E75" s="219"/>
      <c r="F75" s="219"/>
      <c r="G75" s="219"/>
      <c r="H75" s="219"/>
      <c r="I75" s="219"/>
      <c r="J75" s="219"/>
    </row>
    <row r="76" spans="1:10" x14ac:dyDescent="0.25">
      <c r="A76" s="80"/>
      <c r="B76" s="149"/>
      <c r="C76" s="219" t="s">
        <v>197</v>
      </c>
      <c r="D76" s="219"/>
      <c r="E76" s="219"/>
      <c r="F76" s="219"/>
      <c r="G76" s="219"/>
      <c r="H76" s="219"/>
      <c r="I76" s="219"/>
      <c r="J76" s="219"/>
    </row>
    <row r="77" spans="1:10" x14ac:dyDescent="0.25">
      <c r="A77" s="80"/>
      <c r="B77" s="149"/>
      <c r="C77" s="219" t="s">
        <v>198</v>
      </c>
      <c r="D77" s="219"/>
      <c r="E77" s="219"/>
      <c r="F77" s="219"/>
      <c r="G77" s="219"/>
      <c r="H77" s="219"/>
      <c r="I77" s="219"/>
      <c r="J77" s="219"/>
    </row>
  </sheetData>
  <mergeCells count="51">
    <mergeCell ref="C75:J75"/>
    <mergeCell ref="C76:J76"/>
    <mergeCell ref="C77:J77"/>
    <mergeCell ref="F44:F45"/>
    <mergeCell ref="G44:G45"/>
    <mergeCell ref="H44:H45"/>
    <mergeCell ref="C71:J71"/>
    <mergeCell ref="C72:J72"/>
    <mergeCell ref="C73:J73"/>
    <mergeCell ref="C74:J74"/>
    <mergeCell ref="C67:J67"/>
    <mergeCell ref="C68:J68"/>
    <mergeCell ref="C69:J69"/>
    <mergeCell ref="C70:J70"/>
    <mergeCell ref="C63:J63"/>
    <mergeCell ref="C64:J64"/>
    <mergeCell ref="C65:J65"/>
    <mergeCell ref="C66:J66"/>
    <mergeCell ref="A2:B2"/>
    <mergeCell ref="A3:B3"/>
    <mergeCell ref="J17:L17"/>
    <mergeCell ref="F17:I17"/>
    <mergeCell ref="A43:B44"/>
    <mergeCell ref="I43:Q43"/>
    <mergeCell ref="I44:J44"/>
    <mergeCell ref="K44:L44"/>
    <mergeCell ref="M44:N44"/>
    <mergeCell ref="O44:Q44"/>
    <mergeCell ref="F16:L16"/>
    <mergeCell ref="E46:E60"/>
    <mergeCell ref="G46:G48"/>
    <mergeCell ref="F55:F57"/>
    <mergeCell ref="G55:G57"/>
    <mergeCell ref="H55:H57"/>
    <mergeCell ref="I55:I57"/>
    <mergeCell ref="A17:B17"/>
    <mergeCell ref="G58:G60"/>
    <mergeCell ref="H58:H60"/>
    <mergeCell ref="I58:I60"/>
    <mergeCell ref="K58:K60"/>
    <mergeCell ref="N46:N48"/>
    <mergeCell ref="K46:K48"/>
    <mergeCell ref="L46:L48"/>
    <mergeCell ref="M46:M48"/>
    <mergeCell ref="O46:O48"/>
    <mergeCell ref="P46:P48"/>
    <mergeCell ref="Q46:Q48"/>
    <mergeCell ref="F52:F54"/>
    <mergeCell ref="G52:G54"/>
    <mergeCell ref="H52:H54"/>
    <mergeCell ref="I52:I54"/>
  </mergeCells>
  <phoneticPr fontId="5" type="noConversion"/>
  <pageMargins left="0.7" right="0.7" top="0.75" bottom="0.75" header="0.3" footer="0.3"/>
  <legacyDrawing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5C7EB-2E7E-452A-A640-FBCA4AFC0575}">
  <sheetPr codeName="Sheet4">
    <pageSetUpPr fitToPage="1"/>
  </sheetPr>
  <dimension ref="A1:T47"/>
  <sheetViews>
    <sheetView zoomScale="80" zoomScaleNormal="80" workbookViewId="0">
      <selection activeCell="O19" sqref="O19"/>
    </sheetView>
  </sheetViews>
  <sheetFormatPr defaultRowHeight="15" x14ac:dyDescent="0.25"/>
  <cols>
    <col min="1" max="1" width="11.140625" customWidth="1"/>
    <col min="3" max="3" width="55.42578125" customWidth="1"/>
    <col min="10" max="10" width="55.28515625" style="20" customWidth="1"/>
    <col min="16" max="16" width="7.42578125" style="4" customWidth="1"/>
  </cols>
  <sheetData>
    <row r="1" spans="1:20" x14ac:dyDescent="0.25">
      <c r="S1" s="7"/>
      <c r="T1" s="6"/>
    </row>
    <row r="2" spans="1:20" x14ac:dyDescent="0.25">
      <c r="N2" t="s">
        <v>245</v>
      </c>
      <c r="S2" s="7"/>
      <c r="T2" s="6"/>
    </row>
    <row r="3" spans="1:20" x14ac:dyDescent="0.25">
      <c r="B3" s="4">
        <v>1</v>
      </c>
      <c r="C3" s="4">
        <v>2</v>
      </c>
      <c r="D3" s="4">
        <v>3</v>
      </c>
      <c r="E3" s="4">
        <v>4</v>
      </c>
      <c r="F3" s="4">
        <v>5</v>
      </c>
      <c r="G3" s="4">
        <v>6</v>
      </c>
      <c r="H3" s="4">
        <v>7</v>
      </c>
      <c r="I3" s="4">
        <v>8</v>
      </c>
      <c r="J3" s="23">
        <v>9</v>
      </c>
      <c r="K3" s="4">
        <v>10</v>
      </c>
      <c r="S3" s="7"/>
      <c r="T3" s="6"/>
    </row>
    <row r="4" spans="1:20" s="4" customFormat="1" x14ac:dyDescent="0.25">
      <c r="B4" s="4" t="str">
        <f>IF(Vragenlijst!D5=dropdowns!C3,"1a",IF(Vragenlijst!D5=dropdowns!C4,"1b","1c"))</f>
        <v>1a</v>
      </c>
      <c r="C4" s="4" t="str">
        <f>IF(Vragenlijst!H7="","2a",IF(Vragenlijst!H7&gt;=750,"2b","2c"))</f>
        <v>2a</v>
      </c>
      <c r="D4" s="4" t="str">
        <f>IF(Vragenlijst!D9=dropdowns!C9,"3a",IF(Vragenlijst!D9=dropdowns!C10,"3b","3c"))</f>
        <v>3a</v>
      </c>
      <c r="E4" s="5" t="str">
        <f>IF(Vragenlijst!D11=dropdowns!C12,"4a",IF(Vragenlijst!D11=dropdowns!C13,"4b",IF(Vragenlijst!D11=dropdowns!C14,"4c","4d")))</f>
        <v>4a</v>
      </c>
      <c r="F4" s="5" t="str">
        <f>IF(Vragenlijst!D13=dropdowns!C16,"5a",IF(Vragenlijst!D13=dropdowns!C17,"5b",IF(Vragenlijst!D13=dropdowns!C18,"5c",IF(Vragenlijst!D13=dropdowns!C19,"5d",IF(Vragenlijst!D13=dropdowns!C20,"5e",IF(Vragenlijst!D13=dropdowns!C21,"5f","5g"))))))</f>
        <v>5a</v>
      </c>
      <c r="G4" s="4" t="str">
        <f>IF(Vragenlijst!D15=dropdowns!C23,"6a",IF(Vragenlijst!D15=dropdowns!C24,"6b","6c"))</f>
        <v>6a</v>
      </c>
      <c r="H4" s="4" t="str">
        <f>IF(Vragenlijst!D17=dropdowns!C27,"7a",IF(Vragenlijst!D17=dropdowns!C28,"7b",IF(Vragenlijst!D17=dropdowns!C29,"7c",IF(Vragenlijst!D17=dropdowns!C30,"7d",IF(Vragenlijst!D17=dropdowns!C31,"7e",IF(Vragenlijst!D17=dropdowns!C32,"7f",IF(Vragenlijst!D17=dropdowns!C33,"7g",IF(Vragenlijst!D17=dropdowns!C34,"7h","7i"))))))))</f>
        <v>7a</v>
      </c>
      <c r="I4" s="4" t="str">
        <f>IF(Vragenlijst!D19=dropdowns!C36,"8a",IF(Vragenlijst!D19=dropdowns!C37,"8b",IF(Vragenlijst!D19=dropdowns!C38,"8c","8d")))</f>
        <v>8a</v>
      </c>
      <c r="J4" s="23" t="str">
        <f>IF(Vragenlijst!D21=dropdowns!C40,"9a",IF(Vragenlijst!D21=dropdowns!C41,"9b","9c"))</f>
        <v>9a</v>
      </c>
      <c r="K4" s="4" t="str">
        <f>IF(Vragenlijst!D23=dropdowns!C43,"10a",IF(Vragenlijst!D23=dropdowns!C44,"10b","10c"))</f>
        <v>10a</v>
      </c>
      <c r="R4" s="4" t="s">
        <v>246</v>
      </c>
      <c r="S4" s="7"/>
      <c r="T4" s="6"/>
    </row>
    <row r="5" spans="1:20" x14ac:dyDescent="0.25">
      <c r="F5" t="str">
        <f>LEFT(Vragenlijst!D13,4)</f>
        <v/>
      </c>
      <c r="S5" s="7"/>
      <c r="T5" s="6"/>
    </row>
    <row r="6" spans="1:20" x14ac:dyDescent="0.25">
      <c r="Q6">
        <f>IF(Q17=OR(4,6),1,0)</f>
        <v>0</v>
      </c>
      <c r="S6" s="7"/>
      <c r="T6" s="6"/>
    </row>
    <row r="7" spans="1:20" x14ac:dyDescent="0.25">
      <c r="A7" t="s">
        <v>62</v>
      </c>
      <c r="B7" t="str">
        <f>B4&amp;""&amp;C4&amp;""&amp;D4&amp;""&amp;E4&amp;""&amp;F4&amp;""&amp;G4&amp;""&amp;H4&amp;""&amp;I4&amp;""&amp;J4&amp;""&amp;K4</f>
        <v>1a2a3a4a5a6a7a8a9a10a</v>
      </c>
      <c r="S7" s="7"/>
      <c r="T7" s="6"/>
    </row>
    <row r="8" spans="1:20" x14ac:dyDescent="0.25">
      <c r="E8" s="9"/>
      <c r="S8" s="7"/>
      <c r="T8" s="6"/>
    </row>
    <row r="9" spans="1:20" x14ac:dyDescent="0.25">
      <c r="A9" t="s">
        <v>240</v>
      </c>
      <c r="B9" s="4">
        <v>1</v>
      </c>
      <c r="C9" s="4">
        <v>2</v>
      </c>
      <c r="D9" s="4" t="s">
        <v>27</v>
      </c>
      <c r="E9" s="4" t="s">
        <v>36</v>
      </c>
      <c r="F9" s="8" t="s">
        <v>65</v>
      </c>
      <c r="G9" s="8" t="s">
        <v>66</v>
      </c>
      <c r="H9" s="8" t="s">
        <v>67</v>
      </c>
      <c r="I9" s="8" t="s">
        <v>68</v>
      </c>
      <c r="J9" s="24" t="s">
        <v>69</v>
      </c>
      <c r="K9" s="8" t="s">
        <v>70</v>
      </c>
      <c r="L9" s="8" t="s">
        <v>71</v>
      </c>
      <c r="M9" s="8" t="s">
        <v>72</v>
      </c>
      <c r="N9" s="4">
        <v>5</v>
      </c>
      <c r="O9" s="4">
        <v>6</v>
      </c>
      <c r="P9" s="4">
        <v>7</v>
      </c>
      <c r="S9" s="7"/>
      <c r="T9" s="6"/>
    </row>
    <row r="10" spans="1:20" x14ac:dyDescent="0.25">
      <c r="A10" t="s">
        <v>241</v>
      </c>
      <c r="S10" s="7"/>
      <c r="T10" s="6"/>
    </row>
    <row r="11" spans="1:20" x14ac:dyDescent="0.25">
      <c r="A11">
        <v>1</v>
      </c>
      <c r="B11" s="4">
        <f>IF($Q11=0,1,IF($Q11=1,0,1))</f>
        <v>1</v>
      </c>
      <c r="C11" s="4">
        <f t="shared" ref="C11:E11" si="0">IF($Q11=0,1,IF($Q11=1,0,1))</f>
        <v>1</v>
      </c>
      <c r="D11" s="4">
        <f t="shared" si="0"/>
        <v>1</v>
      </c>
      <c r="E11" s="4">
        <f t="shared" si="0"/>
        <v>1</v>
      </c>
      <c r="F11" s="4">
        <f t="shared" ref="F11:M13" si="1">IF($Q11=0,1,IF($Q11=1,1,1))</f>
        <v>1</v>
      </c>
      <c r="G11" s="4">
        <f t="shared" si="1"/>
        <v>1</v>
      </c>
      <c r="H11" s="4">
        <f t="shared" si="1"/>
        <v>1</v>
      </c>
      <c r="I11" s="4">
        <f t="shared" si="1"/>
        <v>1</v>
      </c>
      <c r="J11" s="23">
        <f t="shared" si="1"/>
        <v>1</v>
      </c>
      <c r="K11" s="4">
        <f t="shared" si="1"/>
        <v>1</v>
      </c>
      <c r="L11" s="4">
        <f t="shared" si="1"/>
        <v>1</v>
      </c>
      <c r="M11" s="4">
        <f t="shared" si="1"/>
        <v>1</v>
      </c>
      <c r="N11" s="4">
        <f>IF($Q11=0,1,IF($Q11=1,0,1))</f>
        <v>1</v>
      </c>
      <c r="O11" s="4">
        <v>1</v>
      </c>
      <c r="P11" s="4">
        <f>IF($Q11=0,1,IF($Q11=1,1,1))</f>
        <v>1</v>
      </c>
      <c r="Q11">
        <f>IF(ISNUMBER(SEARCH("1a",$B$7)),0,IF(ISNUMBER(SEARCH("1b",$B$7)),1,2))</f>
        <v>0</v>
      </c>
    </row>
    <row r="12" spans="1:20" x14ac:dyDescent="0.25">
      <c r="A12">
        <v>2</v>
      </c>
      <c r="B12" s="4">
        <f>IF($Q12=0,1,IF($Q12=1,1,0))</f>
        <v>1</v>
      </c>
      <c r="C12" s="4">
        <f t="shared" ref="C12" si="2">IF($Q12=0,1,IF($Q12=1,1,0))</f>
        <v>1</v>
      </c>
      <c r="D12" s="4">
        <f>IF($Q12=0,1,IF($Q12=1,1,1))</f>
        <v>1</v>
      </c>
      <c r="E12" s="4">
        <f>IF($Q12=0,1,IF($Q12=1,1,1))</f>
        <v>1</v>
      </c>
      <c r="F12" s="4">
        <f t="shared" si="1"/>
        <v>1</v>
      </c>
      <c r="G12" s="4">
        <f t="shared" si="1"/>
        <v>1</v>
      </c>
      <c r="H12" s="4">
        <f t="shared" si="1"/>
        <v>1</v>
      </c>
      <c r="I12" s="4">
        <f t="shared" si="1"/>
        <v>1</v>
      </c>
      <c r="J12" s="23">
        <f t="shared" si="1"/>
        <v>1</v>
      </c>
      <c r="K12" s="4">
        <f t="shared" si="1"/>
        <v>1</v>
      </c>
      <c r="L12" s="4">
        <f t="shared" si="1"/>
        <v>1</v>
      </c>
      <c r="M12" s="4">
        <f t="shared" si="1"/>
        <v>1</v>
      </c>
      <c r="N12" s="4">
        <v>1</v>
      </c>
      <c r="O12" s="4">
        <v>1</v>
      </c>
      <c r="P12" s="4">
        <v>1</v>
      </c>
      <c r="Q12">
        <f>IF(ISNUMBER(SEARCH("2a",$B$7)),0,IF(ISNUMBER(SEARCH("2b",$B$7)),1,2))</f>
        <v>0</v>
      </c>
    </row>
    <row r="13" spans="1:20" x14ac:dyDescent="0.25">
      <c r="A13">
        <v>3</v>
      </c>
      <c r="B13" s="4">
        <f>IF($Q13=0,1,IF($Q13=1,0,1))</f>
        <v>1</v>
      </c>
      <c r="C13" s="4">
        <f t="shared" ref="C13:E13" si="3">IF($Q13=0,1,IF($Q13=1,0,1))</f>
        <v>1</v>
      </c>
      <c r="D13" s="4">
        <f t="shared" si="3"/>
        <v>1</v>
      </c>
      <c r="E13" s="4">
        <f t="shared" si="3"/>
        <v>1</v>
      </c>
      <c r="F13" s="4">
        <f t="shared" si="1"/>
        <v>1</v>
      </c>
      <c r="G13" s="4">
        <f t="shared" si="1"/>
        <v>1</v>
      </c>
      <c r="H13" s="4">
        <f t="shared" si="1"/>
        <v>1</v>
      </c>
      <c r="I13" s="4">
        <f t="shared" si="1"/>
        <v>1</v>
      </c>
      <c r="J13" s="23">
        <f t="shared" si="1"/>
        <v>1</v>
      </c>
      <c r="K13" s="4">
        <f t="shared" si="1"/>
        <v>1</v>
      </c>
      <c r="L13" s="4">
        <f t="shared" si="1"/>
        <v>1</v>
      </c>
      <c r="M13" s="4">
        <f t="shared" si="1"/>
        <v>1</v>
      </c>
      <c r="N13" s="4">
        <f>IF($Q13=0,1,IF($Q13=1,1,1))</f>
        <v>1</v>
      </c>
      <c r="O13" s="4">
        <v>1</v>
      </c>
      <c r="P13" s="4">
        <v>1</v>
      </c>
      <c r="Q13">
        <f>IF(ISNUMBER(SEARCH("3a",$B$7)),0,IF(ISNUMBER(SEARCH("3b",$B$7)),1,2))</f>
        <v>0</v>
      </c>
    </row>
    <row r="14" spans="1:20" x14ac:dyDescent="0.25">
      <c r="A14">
        <v>4</v>
      </c>
      <c r="B14" s="4">
        <v>1</v>
      </c>
      <c r="C14" s="4">
        <v>1</v>
      </c>
      <c r="D14" s="4">
        <v>1</v>
      </c>
      <c r="E14" s="4">
        <v>1</v>
      </c>
      <c r="F14" s="4">
        <v>1</v>
      </c>
      <c r="G14" s="4">
        <v>1</v>
      </c>
      <c r="H14" s="4">
        <v>1</v>
      </c>
      <c r="I14" s="4">
        <v>1</v>
      </c>
      <c r="J14" s="23">
        <v>1</v>
      </c>
      <c r="K14" s="4">
        <v>1</v>
      </c>
      <c r="L14" s="4">
        <v>1</v>
      </c>
      <c r="M14" s="4">
        <v>1</v>
      </c>
      <c r="N14" s="4">
        <v>1</v>
      </c>
      <c r="O14" s="4">
        <v>1</v>
      </c>
      <c r="P14" s="4">
        <v>1</v>
      </c>
      <c r="Q14">
        <f>IF(ISNUMBER(SEARCH("4a",$B$7)),0,IF(ISNUMBER(SEARCH("4b",$B$7)),1,IF(ISNUMBER(SEARCH("4c",$B$7)),2,3)))</f>
        <v>0</v>
      </c>
    </row>
    <row r="15" spans="1:20" x14ac:dyDescent="0.25">
      <c r="A15" s="133">
        <v>5</v>
      </c>
      <c r="B15" s="5">
        <f>IF($Q15=0,1,IF(OR($Q15=3,$Q15=4),0,1))</f>
        <v>1</v>
      </c>
      <c r="C15" s="5">
        <f>IF($Q15=0,1,IF($Q15=2,1,0))</f>
        <v>1</v>
      </c>
      <c r="D15" s="5">
        <f>IF($Q15=0,1,IF(OR($Q15=1,$Q15=2),1,0))</f>
        <v>1</v>
      </c>
      <c r="E15" s="5">
        <f>IF($Q15=0,1,IF(OR($Q15=1,$Q15=2),1,0))</f>
        <v>1</v>
      </c>
      <c r="F15" s="5">
        <f t="shared" ref="F15:M15" si="4">IF($Q15=0,1,1)</f>
        <v>1</v>
      </c>
      <c r="G15" s="5">
        <f t="shared" si="4"/>
        <v>1</v>
      </c>
      <c r="H15" s="5">
        <f t="shared" si="4"/>
        <v>1</v>
      </c>
      <c r="I15" s="5">
        <f t="shared" si="4"/>
        <v>1</v>
      </c>
      <c r="J15" s="25">
        <f t="shared" si="4"/>
        <v>1</v>
      </c>
      <c r="K15" s="5">
        <f t="shared" si="4"/>
        <v>1</v>
      </c>
      <c r="L15" s="5">
        <f t="shared" si="4"/>
        <v>1</v>
      </c>
      <c r="M15" s="5">
        <f t="shared" si="4"/>
        <v>1</v>
      </c>
      <c r="N15" s="5">
        <f>IF($Q15=0,1,IF(OR($Q15=1,$Q15=2),1,0))</f>
        <v>1</v>
      </c>
      <c r="O15" s="5">
        <v>1</v>
      </c>
      <c r="P15" s="4">
        <v>1</v>
      </c>
      <c r="Q15" s="155">
        <f>IF(ISNUMBER(SEARCH("5a",$B$7)),0,IF(ISNUMBER(SEARCH("5b",$B$7)),1,IF(ISNUMBER(SEARCH("5c",$B$7)),2,IF(ISNUMBER(SEARCH("5d",$B$7)),3,IF(ISNUMBER(SEARCH("5e",$B$7)),4,IF(ISNUMBER(SEARCH("f",$B$7)),5,6))))))</f>
        <v>0</v>
      </c>
      <c r="S15" t="s">
        <v>98</v>
      </c>
      <c r="T15" t="s">
        <v>99</v>
      </c>
    </row>
    <row r="16" spans="1:20" x14ac:dyDescent="0.25">
      <c r="A16" s="133">
        <v>6</v>
      </c>
      <c r="B16" s="5">
        <f>IF($Q16=0,1,IF($Q16=1,1,IF(OR($Q15=3,$Q15=4),0,1)))</f>
        <v>1</v>
      </c>
      <c r="C16" s="5">
        <f>IF($Q16=0,1,IF($Q16=2,1,IF($Q15=0,1,IF($Q15=2,1,0))))</f>
        <v>1</v>
      </c>
      <c r="D16" s="5">
        <f>IF($Q16=0,1,IF($Q16=1,1,IF(OR($Q15=1,$Q15=2),1,0)))</f>
        <v>1</v>
      </c>
      <c r="E16" s="5">
        <f>IF($Q16=0,1,IF($Q16=1,1,IF(OR($Q15=1,$Q15=2),1,0)))</f>
        <v>1</v>
      </c>
      <c r="F16" s="5">
        <f>IF($Q16=0,1,IF($Q16=1,1,0))</f>
        <v>1</v>
      </c>
      <c r="G16" s="5">
        <f>IF($Q16=0,1,IF($Q16=1,1,IF($Q15=1,1,0)))</f>
        <v>1</v>
      </c>
      <c r="H16" s="5">
        <f>IF($Q16=0,1,IF($Q16=1,1,0))</f>
        <v>1</v>
      </c>
      <c r="I16" s="5">
        <f>IF($Q16=0,1,IF($Q16=1,1,IF($Q15=2,1,0)))</f>
        <v>1</v>
      </c>
      <c r="J16" s="25">
        <f>IF($Q16=0,1,IF($Q16=1,1,0))</f>
        <v>1</v>
      </c>
      <c r="K16" s="5">
        <f>IF($Q16=0,1,IF($Q16=1,1,IF(OR(F4="5d",F4="5e"),1,0)))</f>
        <v>1</v>
      </c>
      <c r="L16" s="5">
        <f>IF($Q16=0,1,IF($Q16=1,1,0))</f>
        <v>1</v>
      </c>
      <c r="M16" s="5">
        <f>IF($Q16=0,1,IF($Q16=1,1,IF(OR(F4="5f",F4="5g"),1,0)))</f>
        <v>1</v>
      </c>
      <c r="N16" s="5">
        <f>IF($Q16=0,1,IF($Q16=1,1,IF($Q15&lt;3,1,0)))</f>
        <v>1</v>
      </c>
      <c r="O16" s="5">
        <v>1</v>
      </c>
      <c r="P16" s="4">
        <v>1</v>
      </c>
      <c r="Q16">
        <f>IF(ISNUMBER(SEARCH("6a",$B$7)),0,IF(ISNUMBER(SEARCH("6b",$B$7)),1,2))</f>
        <v>0</v>
      </c>
    </row>
    <row r="17" spans="1:19" x14ac:dyDescent="0.25">
      <c r="A17" s="133">
        <v>7</v>
      </c>
      <c r="B17" s="5">
        <f>IF($Q17=0,1,IF($Q17&gt;1,0,IF($Q11=1,0,IF(OR($Q15=1,$Q15=2,$Q15=5,$Q15=6),1,0))))</f>
        <v>1</v>
      </c>
      <c r="C17" s="5">
        <f>IF($Q17=0,1,IF(OR($Q17=2,$Q17=3,$Q17=5,$Q17=7),0,IF($Q11=1,0,IF($Q15=2,1,0))))</f>
        <v>1</v>
      </c>
      <c r="D17" s="5">
        <f>IF($Q17=0,1,IF($Q17&gt;1,0,IF($Q11=1,0,IF($Q15=1,1,IF($Q15=2,1,0)))))</f>
        <v>1</v>
      </c>
      <c r="E17" s="5">
        <f>IF($Q17=0,1,IF($Q17&gt;1,0,IF($Q11=1,0,IF($Q15=1,1,IF($Q15=2,1,0)))))</f>
        <v>1</v>
      </c>
      <c r="F17" s="5">
        <f>IF($Q17=0,1,IF($Q17=1,IF($Q15=1,1,0),0))</f>
        <v>1</v>
      </c>
      <c r="G17" s="5">
        <f>IF($Q17=0,1,IF($Q17=1,IF($Q15=1,1,0),0))</f>
        <v>1</v>
      </c>
      <c r="H17" s="5">
        <f>IF($Q17=0,1,IF(Q17=1,IF($Q15=2,1,0),IF($Q17=2,IF($Q15=1,1,0),0)))</f>
        <v>1</v>
      </c>
      <c r="I17" s="5">
        <f>IF($Q17=0,1,IF(Q17=1,IF($Q15=2,1,0),IF($Q17=2,IF($Q15=1,1,0),0)))</f>
        <v>1</v>
      </c>
      <c r="J17" s="25">
        <f>IF($Q17=0,1,IF($Q17=1,IF(OR($Q15=3,$Q15=4),1,0),IF($Q17=2,0,IF($Q17=3,IF($Q15=2,1,0),IF($Q17=5,IF(OR($Q15=2,$Q15=3),1,0),IF(AND($Q17=7,$Q15=4),1,0))))))</f>
        <v>1</v>
      </c>
      <c r="K17" s="5">
        <f>IF($Q17=0,1,IF($Q17=1,IF(OR($Q15=3,$Q15=4),1,0),IF($Q17=2,0,IF($Q17=3,IF($Q15=2,1,0),IF($Q17=5,IF(OR($Q15=2,$Q15=3),1,0),IF(AND($Q17=7,$Q15=4),1,0))))))</f>
        <v>1</v>
      </c>
      <c r="L17" s="5">
        <f>IF($Q17=0,1,IF($Q17=1,IF(OR($Q15=1,$Q15=2),0,1),IF(OR($Q17=2,$Q17=3,$Q17=5,$Q17=7),0,IF($Q17=4,IF($Q15=2,1,0),IF($Q17=6,IF(OR($Q15=2,$Q15=3,$Q15=5),1,0),IF($Q15=6,1,0))))))</f>
        <v>1</v>
      </c>
      <c r="M17" s="5">
        <f>IF($Q17=0,1,IF($Q17=1,IF(OR($Q15=1,$Q15=2),0,1),IF(OR($Q17=2,$Q17=3,$Q17=5,$Q17=7),0,IF($Q17=4,IF($Q15=2,1,0),IF($Q17=6,IF(OR($Q15=2,$Q15=3,$Q15=5),1,0),IF($Q15=6,1,0))))))</f>
        <v>1</v>
      </c>
      <c r="N17" s="5">
        <f>IF($Q17=0,1,IF($Q17&gt;1,0,IF($Q11=1,0,IF($Q15=1,1,IF($Q15=2,1,0)))))</f>
        <v>1</v>
      </c>
      <c r="O17" s="5">
        <f>IF($Q17=0,1,IF($Q17&gt;2,1,IF($Q11=1,1,IF($Q15=1,0,IF($Q15=2,0,1)))))</f>
        <v>1</v>
      </c>
      <c r="P17" s="5">
        <v>1</v>
      </c>
      <c r="Q17" s="155">
        <f>IF(ISNUMBER(SEARCH("7a",$B$7)),IF(ISNUMBER(SEARCH("LET OP",Vragenlijst!G15)),1,0),IF(ISNUMBER(SEARCH("7b",$B$7)),1,IF(ISNUMBER(SEARCH("7c",$B$7)),2,IF(ISNUMBER(SEARCH("7d",$B$7)),3,IF(ISNUMBER(SEARCH("7e",$B$7)),4,IF(ISNUMBER(SEARCH("7f",$B$7)),5,IF(ISNUMBER(SEARCH("7g",$B$7)),6,IF(ISNUMBER(SEARCH("7h",$B$7)),7,8))))))))</f>
        <v>0</v>
      </c>
      <c r="R17" s="133"/>
    </row>
    <row r="18" spans="1:19" x14ac:dyDescent="0.25">
      <c r="A18" s="133">
        <v>8</v>
      </c>
      <c r="B18" s="5">
        <f>IF($Q18=0,1,IF(OR($Q18=1,$Q18=3),0,IF($Q17&gt;1,0,IF($Q11=1,0,1))))</f>
        <v>1</v>
      </c>
      <c r="C18" s="5">
        <f>IF($Q18=0,1,IF($Q18=1,0,IF(OR($Q17=2,$Q17=3,$Q17=5,$Q17=7),0,IF($Q11=1,0,1))))</f>
        <v>1</v>
      </c>
      <c r="D18" s="5">
        <f t="shared" ref="D18:K18" si="5">IF($Q18=0,1,IF($Q18=1,1,0))</f>
        <v>1</v>
      </c>
      <c r="E18" s="5">
        <f t="shared" si="5"/>
        <v>1</v>
      </c>
      <c r="F18" s="5">
        <f t="shared" si="5"/>
        <v>1</v>
      </c>
      <c r="G18" s="5">
        <f t="shared" si="5"/>
        <v>1</v>
      </c>
      <c r="H18" s="5">
        <f t="shared" si="5"/>
        <v>1</v>
      </c>
      <c r="I18" s="5">
        <f t="shared" si="5"/>
        <v>1</v>
      </c>
      <c r="J18" s="25">
        <f t="shared" si="5"/>
        <v>1</v>
      </c>
      <c r="K18" s="5">
        <f t="shared" si="5"/>
        <v>1</v>
      </c>
      <c r="L18" s="5">
        <f>IF($Q18=0,1,IF($Q18=1,1,0))</f>
        <v>1</v>
      </c>
      <c r="M18" s="5">
        <f>IF($Q18=0,1,IF($Q18=1,1,0))</f>
        <v>1</v>
      </c>
      <c r="N18" s="5">
        <f>IF($Q18=0,1,IF($Q18=3,1,0))</f>
        <v>1</v>
      </c>
      <c r="O18" s="5">
        <f>IF($Q18=0,1,0)</f>
        <v>1</v>
      </c>
      <c r="P18" s="4">
        <f>IF($Q18=0,1,IF($Q18=1,1,0))</f>
        <v>1</v>
      </c>
      <c r="Q18">
        <f>IF(ISNUMBER(SEARCH("8a",$B$7)),0,IF(ISNUMBER(SEARCH("8b",$B$7)),1,IF(ISNUMBER(SEARCH("8c",$B$7)),2,3)))</f>
        <v>0</v>
      </c>
    </row>
    <row r="19" spans="1:19" x14ac:dyDescent="0.25">
      <c r="A19" s="133">
        <v>9</v>
      </c>
      <c r="B19" s="5">
        <v>1</v>
      </c>
      <c r="C19" s="5">
        <v>1</v>
      </c>
      <c r="D19" s="5">
        <v>1</v>
      </c>
      <c r="E19" s="5">
        <v>1</v>
      </c>
      <c r="F19" s="5">
        <f>IF($Q19=0,1,IF($Q19=1,1,0))</f>
        <v>1</v>
      </c>
      <c r="G19" s="5">
        <f t="shared" ref="G19:M19" si="6">IF($Q19=0,1,IF($Q19=1,1,0))</f>
        <v>1</v>
      </c>
      <c r="H19" s="5">
        <f t="shared" si="6"/>
        <v>1</v>
      </c>
      <c r="I19" s="5">
        <f t="shared" si="6"/>
        <v>1</v>
      </c>
      <c r="J19" s="25">
        <f t="shared" si="6"/>
        <v>1</v>
      </c>
      <c r="K19" s="5">
        <f t="shared" si="6"/>
        <v>1</v>
      </c>
      <c r="L19" s="5">
        <f t="shared" si="6"/>
        <v>1</v>
      </c>
      <c r="M19" s="5">
        <f t="shared" si="6"/>
        <v>1</v>
      </c>
      <c r="N19" s="5">
        <v>1</v>
      </c>
      <c r="O19" s="5">
        <f>IF($Q19=0,1,IF($Q19=1,0,1))</f>
        <v>1</v>
      </c>
      <c r="P19" s="4">
        <v>1</v>
      </c>
      <c r="Q19">
        <f>IF(ISNUMBER(SEARCH("9a",$B$7)),0,IF(ISNUMBER(SEARCH("9b",$B$7)),1,2))</f>
        <v>0</v>
      </c>
      <c r="R19">
        <f>SUM(B19:M19)</f>
        <v>12</v>
      </c>
      <c r="S19">
        <f>SUM(N19:O19)</f>
        <v>2</v>
      </c>
    </row>
    <row r="20" spans="1:19" x14ac:dyDescent="0.25">
      <c r="A20" s="133">
        <v>10</v>
      </c>
      <c r="B20" s="5">
        <v>1</v>
      </c>
      <c r="C20" s="5">
        <v>1</v>
      </c>
      <c r="D20" s="5">
        <f>IF($Q20=1,0,1)</f>
        <v>1</v>
      </c>
      <c r="E20" s="5">
        <v>1</v>
      </c>
      <c r="F20" s="5">
        <f>IF($Q20=1,0,1)</f>
        <v>1</v>
      </c>
      <c r="G20" s="5">
        <v>1</v>
      </c>
      <c r="H20" s="5">
        <f>IF($Q20=1,0,1)</f>
        <v>1</v>
      </c>
      <c r="I20" s="5">
        <v>1</v>
      </c>
      <c r="J20" s="5">
        <f>IF($Q20=1,0,1)</f>
        <v>1</v>
      </c>
      <c r="K20" s="5">
        <v>1</v>
      </c>
      <c r="L20" s="5">
        <f>IF($Q20=1,0,1)</f>
        <v>1</v>
      </c>
      <c r="M20" s="5">
        <v>1</v>
      </c>
      <c r="N20" s="5">
        <v>1</v>
      </c>
      <c r="O20" s="5">
        <v>1</v>
      </c>
      <c r="P20" s="4">
        <v>1</v>
      </c>
      <c r="Q20">
        <f>IF(ISNUMBER(SEARCH("10a",$B$7)),0,IF(ISNUMBER(SEARCH("10b",$B$7)),1,2))</f>
        <v>0</v>
      </c>
    </row>
    <row r="22" spans="1:19" x14ac:dyDescent="0.25">
      <c r="B22" s="4">
        <f>COUNTIF(B11:B20,0)</f>
        <v>0</v>
      </c>
      <c r="C22" s="4">
        <f t="shared" ref="C22:N22" si="7">COUNTIF(C11:C20,0)</f>
        <v>0</v>
      </c>
      <c r="D22" s="4">
        <f t="shared" si="7"/>
        <v>0</v>
      </c>
      <c r="E22" s="4">
        <f t="shared" si="7"/>
        <v>0</v>
      </c>
      <c r="F22" s="4">
        <f t="shared" si="7"/>
        <v>0</v>
      </c>
      <c r="G22" s="4">
        <f t="shared" si="7"/>
        <v>0</v>
      </c>
      <c r="H22" s="4">
        <f t="shared" si="7"/>
        <v>0</v>
      </c>
      <c r="I22" s="4">
        <f t="shared" si="7"/>
        <v>0</v>
      </c>
      <c r="J22" s="23">
        <f t="shared" si="7"/>
        <v>0</v>
      </c>
      <c r="K22" s="4">
        <f t="shared" si="7"/>
        <v>0</v>
      </c>
      <c r="L22" s="4">
        <f t="shared" si="7"/>
        <v>0</v>
      </c>
      <c r="M22" s="4">
        <f t="shared" si="7"/>
        <v>0</v>
      </c>
      <c r="N22" s="4">
        <f t="shared" si="7"/>
        <v>0</v>
      </c>
      <c r="O22" s="4">
        <f>IF(OR(AND(F22=1,F19=0),AND(G22=1,F19=0),AND(H22=1,F19=0),AND(I22=1,F19=0),AND(J22=1,F19=0),AND(K22=1,F19=0),AND(L22=1,F19=0),AND(M22=1,F19=0)),0,1)</f>
        <v>1</v>
      </c>
      <c r="P22" s="4">
        <f>IF(OR($B22=0,$C22=0),1,P18)</f>
        <v>1</v>
      </c>
    </row>
    <row r="25" spans="1:19" x14ac:dyDescent="0.25">
      <c r="A25">
        <v>1</v>
      </c>
      <c r="B25" t="s">
        <v>11</v>
      </c>
      <c r="E25" t="s">
        <v>25</v>
      </c>
      <c r="F25">
        <v>0</v>
      </c>
      <c r="H25">
        <v>6</v>
      </c>
      <c r="I25" t="s">
        <v>11</v>
      </c>
      <c r="L25" t="s">
        <v>30</v>
      </c>
      <c r="M25">
        <v>0</v>
      </c>
    </row>
    <row r="26" spans="1:19" x14ac:dyDescent="0.25">
      <c r="B26" t="s">
        <v>12</v>
      </c>
      <c r="C26" t="s">
        <v>2</v>
      </c>
      <c r="E26" t="s">
        <v>32</v>
      </c>
      <c r="F26">
        <v>1</v>
      </c>
      <c r="I26" t="s">
        <v>12</v>
      </c>
      <c r="J26" s="20" t="s">
        <v>5</v>
      </c>
      <c r="L26" t="s">
        <v>45</v>
      </c>
      <c r="M26">
        <v>1</v>
      </c>
    </row>
    <row r="27" spans="1:19" x14ac:dyDescent="0.25">
      <c r="B27" t="s">
        <v>13</v>
      </c>
      <c r="C27" t="s">
        <v>1</v>
      </c>
      <c r="E27" t="s">
        <v>33</v>
      </c>
      <c r="F27">
        <v>2</v>
      </c>
      <c r="I27" t="s">
        <v>13</v>
      </c>
      <c r="J27" s="20" t="s">
        <v>6</v>
      </c>
      <c r="L27" t="s">
        <v>46</v>
      </c>
      <c r="M27">
        <v>2</v>
      </c>
    </row>
    <row r="28" spans="1:19" x14ac:dyDescent="0.25">
      <c r="A28">
        <v>2</v>
      </c>
      <c r="B28" t="s">
        <v>11</v>
      </c>
      <c r="E28" t="s">
        <v>26</v>
      </c>
      <c r="F28">
        <v>0</v>
      </c>
      <c r="H28">
        <v>7</v>
      </c>
      <c r="J28" s="20" t="s">
        <v>74</v>
      </c>
      <c r="K28" t="s">
        <v>73</v>
      </c>
    </row>
    <row r="29" spans="1:19" x14ac:dyDescent="0.25">
      <c r="B29" t="s">
        <v>12</v>
      </c>
      <c r="C29" t="s">
        <v>3</v>
      </c>
      <c r="E29" t="s">
        <v>34</v>
      </c>
      <c r="F29">
        <v>1</v>
      </c>
      <c r="H29">
        <v>7</v>
      </c>
      <c r="I29" t="s">
        <v>11</v>
      </c>
      <c r="L29" t="s">
        <v>31</v>
      </c>
      <c r="M29">
        <v>0</v>
      </c>
    </row>
    <row r="30" spans="1:19" x14ac:dyDescent="0.25">
      <c r="B30" t="s">
        <v>13</v>
      </c>
      <c r="C30" t="s">
        <v>4</v>
      </c>
      <c r="E30" t="s">
        <v>35</v>
      </c>
      <c r="F30">
        <v>2</v>
      </c>
      <c r="I30" t="s">
        <v>12</v>
      </c>
      <c r="J30" s="20" t="str">
        <f>dropdowns!C28</f>
        <v>gelijk koelvermogen</v>
      </c>
      <c r="L30" t="s">
        <v>47</v>
      </c>
      <c r="M30">
        <v>1</v>
      </c>
    </row>
    <row r="31" spans="1:19" x14ac:dyDescent="0.25">
      <c r="A31">
        <v>3</v>
      </c>
      <c r="B31" t="s">
        <v>11</v>
      </c>
      <c r="E31" t="s">
        <v>27</v>
      </c>
      <c r="F31">
        <v>0</v>
      </c>
      <c r="I31" t="s">
        <v>13</v>
      </c>
      <c r="J31" s="20" t="str">
        <f>dropdowns!C29</f>
        <v>verhoging: naar 25-150 kW (DXc)</v>
      </c>
      <c r="L31" t="s">
        <v>48</v>
      </c>
      <c r="M31">
        <v>2</v>
      </c>
    </row>
    <row r="32" spans="1:19" x14ac:dyDescent="0.25">
      <c r="B32" t="s">
        <v>12</v>
      </c>
      <c r="C32" t="s">
        <v>6</v>
      </c>
      <c r="E32" t="s">
        <v>36</v>
      </c>
      <c r="F32">
        <v>1</v>
      </c>
      <c r="I32" t="s">
        <v>14</v>
      </c>
      <c r="J32" s="20" t="str">
        <f>dropdowns!C30</f>
        <v>verhoging: naar 150-500 kW (direct pompsysteem (DPS))</v>
      </c>
      <c r="L32" t="s">
        <v>49</v>
      </c>
      <c r="M32">
        <v>3</v>
      </c>
    </row>
    <row r="33" spans="1:13" x14ac:dyDescent="0.25">
      <c r="B33" t="s">
        <v>13</v>
      </c>
      <c r="C33" t="s">
        <v>5</v>
      </c>
      <c r="E33" t="s">
        <v>37</v>
      </c>
      <c r="F33">
        <v>2</v>
      </c>
      <c r="I33" t="s">
        <v>16</v>
      </c>
      <c r="J33" s="20" t="str">
        <f>dropdowns!C31</f>
        <v>verhoging: naar 150-500 kW (indirect pompsysteem (IDPS))</v>
      </c>
      <c r="L33" t="s">
        <v>50</v>
      </c>
      <c r="M33">
        <v>4</v>
      </c>
    </row>
    <row r="34" spans="1:13" ht="30" x14ac:dyDescent="0.25">
      <c r="A34">
        <v>4</v>
      </c>
      <c r="B34" t="s">
        <v>11</v>
      </c>
      <c r="E34" t="s">
        <v>28</v>
      </c>
      <c r="F34">
        <v>0</v>
      </c>
      <c r="I34" t="s">
        <v>22</v>
      </c>
      <c r="J34" s="20" t="str">
        <f>dropdowns!C32</f>
        <v>verhoging: van minder naar meer dan 500 kW (direct pomp systeem (DPS))</v>
      </c>
      <c r="L34" t="s">
        <v>51</v>
      </c>
      <c r="M34">
        <v>5</v>
      </c>
    </row>
    <row r="35" spans="1:13" ht="30" x14ac:dyDescent="0.25">
      <c r="B35" t="s">
        <v>12</v>
      </c>
      <c r="C35" s="1" t="s">
        <v>8</v>
      </c>
      <c r="D35" s="1"/>
      <c r="E35" t="s">
        <v>38</v>
      </c>
      <c r="F35">
        <v>1</v>
      </c>
      <c r="I35" t="s">
        <v>24</v>
      </c>
      <c r="J35" s="20" t="str">
        <f>dropdowns!C33</f>
        <v>verhoging: van minder naar meer dan 500 kW (indirect pompsysteem (IDPS))</v>
      </c>
      <c r="L35" t="s">
        <v>52</v>
      </c>
      <c r="M35">
        <v>6</v>
      </c>
    </row>
    <row r="36" spans="1:13" ht="30" x14ac:dyDescent="0.25">
      <c r="B36" t="s">
        <v>13</v>
      </c>
      <c r="C36" s="1" t="s">
        <v>9</v>
      </c>
      <c r="D36" s="1"/>
      <c r="E36" t="s">
        <v>39</v>
      </c>
      <c r="F36">
        <v>2</v>
      </c>
      <c r="I36" t="s">
        <v>353</v>
      </c>
      <c r="J36" s="20" t="str">
        <f>dropdowns!C34</f>
        <v>verhoging: van boven de 500 kW naar nog meer (direct pomp systeem (DPS))</v>
      </c>
      <c r="L36" t="s">
        <v>359</v>
      </c>
      <c r="M36">
        <v>7</v>
      </c>
    </row>
    <row r="37" spans="1:13" ht="30" x14ac:dyDescent="0.25">
      <c r="B37" t="s">
        <v>14</v>
      </c>
      <c r="C37" s="1" t="s">
        <v>10</v>
      </c>
      <c r="D37" s="1"/>
      <c r="E37" t="s">
        <v>40</v>
      </c>
      <c r="F37">
        <v>3</v>
      </c>
      <c r="I37" t="s">
        <v>354</v>
      </c>
      <c r="J37" s="20" t="str">
        <f>dropdowns!C35</f>
        <v>verhoging: van boven de 500 kW naar nog meer (indirect pompsysteem (IDPS))</v>
      </c>
      <c r="L37" t="s">
        <v>360</v>
      </c>
      <c r="M37">
        <v>8</v>
      </c>
    </row>
    <row r="38" spans="1:13" x14ac:dyDescent="0.25">
      <c r="A38">
        <v>5</v>
      </c>
      <c r="B38" t="s">
        <v>11</v>
      </c>
      <c r="E38" t="s">
        <v>29</v>
      </c>
      <c r="F38">
        <v>0</v>
      </c>
      <c r="H38">
        <v>8</v>
      </c>
      <c r="I38" t="s">
        <v>11</v>
      </c>
      <c r="L38" t="s">
        <v>53</v>
      </c>
      <c r="M38">
        <v>0</v>
      </c>
    </row>
    <row r="39" spans="1:13" x14ac:dyDescent="0.25">
      <c r="B39" t="s">
        <v>12</v>
      </c>
      <c r="C39" s="2" t="s">
        <v>235</v>
      </c>
      <c r="D39" s="2"/>
      <c r="E39" t="s">
        <v>41</v>
      </c>
      <c r="F39">
        <v>1</v>
      </c>
      <c r="I39" t="s">
        <v>12</v>
      </c>
      <c r="J39" s="20" t="s">
        <v>5</v>
      </c>
      <c r="L39" t="s">
        <v>54</v>
      </c>
      <c r="M39">
        <v>1</v>
      </c>
    </row>
    <row r="40" spans="1:13" x14ac:dyDescent="0.25">
      <c r="B40" t="s">
        <v>13</v>
      </c>
      <c r="C40" s="2" t="s">
        <v>236</v>
      </c>
      <c r="D40" s="2"/>
      <c r="E40" t="s">
        <v>42</v>
      </c>
      <c r="F40">
        <v>2</v>
      </c>
      <c r="I40" t="s">
        <v>13</v>
      </c>
      <c r="J40" t="s">
        <v>247</v>
      </c>
      <c r="L40" t="s">
        <v>55</v>
      </c>
      <c r="M40">
        <v>2</v>
      </c>
    </row>
    <row r="41" spans="1:13" x14ac:dyDescent="0.25">
      <c r="B41" t="s">
        <v>14</v>
      </c>
      <c r="C41" s="2" t="s">
        <v>237</v>
      </c>
      <c r="D41" s="2"/>
      <c r="E41" t="s">
        <v>43</v>
      </c>
      <c r="F41">
        <v>3</v>
      </c>
      <c r="I41" t="s">
        <v>14</v>
      </c>
      <c r="J41" t="s">
        <v>249</v>
      </c>
      <c r="L41" t="s">
        <v>250</v>
      </c>
      <c r="M41">
        <v>3</v>
      </c>
    </row>
    <row r="42" spans="1:13" x14ac:dyDescent="0.25">
      <c r="B42" t="s">
        <v>16</v>
      </c>
      <c r="C42" s="2" t="s">
        <v>238</v>
      </c>
      <c r="D42" s="2"/>
      <c r="E42" t="s">
        <v>44</v>
      </c>
      <c r="F42">
        <v>4</v>
      </c>
      <c r="H42">
        <v>9</v>
      </c>
      <c r="I42" t="s">
        <v>11</v>
      </c>
      <c r="L42" t="s">
        <v>56</v>
      </c>
      <c r="M42">
        <v>0</v>
      </c>
    </row>
    <row r="43" spans="1:13" x14ac:dyDescent="0.25">
      <c r="B43" t="s">
        <v>22</v>
      </c>
      <c r="C43" s="2" t="s">
        <v>242</v>
      </c>
      <c r="D43" s="2"/>
      <c r="E43" t="s">
        <v>239</v>
      </c>
      <c r="F43">
        <v>5</v>
      </c>
      <c r="I43" t="s">
        <v>12</v>
      </c>
      <c r="J43" s="20" t="s">
        <v>18</v>
      </c>
      <c r="L43" t="s">
        <v>57</v>
      </c>
      <c r="M43">
        <v>1</v>
      </c>
    </row>
    <row r="44" spans="1:13" x14ac:dyDescent="0.25">
      <c r="B44" t="s">
        <v>24</v>
      </c>
      <c r="C44" s="2" t="s">
        <v>243</v>
      </c>
      <c r="D44" s="2"/>
      <c r="E44" t="s">
        <v>244</v>
      </c>
      <c r="F44">
        <v>6</v>
      </c>
      <c r="I44" t="s">
        <v>13</v>
      </c>
      <c r="J44" s="20" t="s">
        <v>17</v>
      </c>
      <c r="L44" t="s">
        <v>58</v>
      </c>
      <c r="M44">
        <v>2</v>
      </c>
    </row>
    <row r="45" spans="1:13" x14ac:dyDescent="0.25">
      <c r="C45" s="2"/>
      <c r="H45">
        <v>10</v>
      </c>
      <c r="I45" t="s">
        <v>11</v>
      </c>
      <c r="L45" t="s">
        <v>59</v>
      </c>
      <c r="M45">
        <v>0</v>
      </c>
    </row>
    <row r="46" spans="1:13" x14ac:dyDescent="0.25">
      <c r="C46" s="2"/>
      <c r="I46" t="s">
        <v>12</v>
      </c>
      <c r="J46" s="20" t="s">
        <v>19</v>
      </c>
      <c r="L46" t="s">
        <v>60</v>
      </c>
      <c r="M46">
        <v>1</v>
      </c>
    </row>
    <row r="47" spans="1:13" x14ac:dyDescent="0.25">
      <c r="I47" t="s">
        <v>13</v>
      </c>
      <c r="J47" s="20" t="s">
        <v>20</v>
      </c>
      <c r="L47" t="s">
        <v>61</v>
      </c>
      <c r="M47">
        <v>2</v>
      </c>
    </row>
  </sheetData>
  <pageMargins left="0.7" right="0.7" top="0.75" bottom="0.75" header="0.3" footer="0.3"/>
  <pageSetup paperSize="9" scale="55" orientation="landscape" horizontalDpi="4294967293" verticalDpi="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969B8-9F23-4362-9AF4-53A0DB147B25}">
  <sheetPr codeName="Sheet6">
    <pageSetUpPr fitToPage="1"/>
  </sheetPr>
  <dimension ref="A1:G20"/>
  <sheetViews>
    <sheetView workbookViewId="0">
      <selection activeCell="D14" sqref="D14"/>
    </sheetView>
  </sheetViews>
  <sheetFormatPr defaultColWidth="8.85546875" defaultRowHeight="15" x14ac:dyDescent="0.25"/>
  <cols>
    <col min="1" max="1" width="8.85546875" style="158"/>
    <col min="2" max="2" width="113.140625" style="161" customWidth="1"/>
    <col min="3" max="16384" width="8.85546875" style="160"/>
  </cols>
  <sheetData>
    <row r="1" spans="1:7" x14ac:dyDescent="0.25">
      <c r="A1" s="158" t="s">
        <v>261</v>
      </c>
      <c r="B1" s="159">
        <v>1</v>
      </c>
    </row>
    <row r="2" spans="1:7" x14ac:dyDescent="0.25">
      <c r="C2" s="160" t="s">
        <v>105</v>
      </c>
    </row>
    <row r="3" spans="1:7" x14ac:dyDescent="0.25">
      <c r="A3" s="162" t="s">
        <v>63</v>
      </c>
      <c r="C3" s="163" t="s">
        <v>101</v>
      </c>
      <c r="D3" s="163" t="s">
        <v>102</v>
      </c>
      <c r="E3" s="163" t="s">
        <v>103</v>
      </c>
      <c r="F3" s="163" t="s">
        <v>103</v>
      </c>
      <c r="G3" s="163" t="s">
        <v>104</v>
      </c>
    </row>
    <row r="4" spans="1:7" ht="30" x14ac:dyDescent="0.25">
      <c r="A4" s="158">
        <v>1</v>
      </c>
      <c r="B4" s="164" t="s">
        <v>217</v>
      </c>
      <c r="C4" s="165">
        <f>B1</f>
        <v>1</v>
      </c>
      <c r="D4" s="165"/>
      <c r="E4" s="165"/>
      <c r="F4" s="165"/>
      <c r="G4" s="165"/>
    </row>
    <row r="5" spans="1:7" ht="30" x14ac:dyDescent="0.25">
      <c r="A5" s="158">
        <v>2</v>
      </c>
      <c r="B5" s="164" t="s">
        <v>218</v>
      </c>
      <c r="C5" s="165">
        <f>B1</f>
        <v>1</v>
      </c>
      <c r="D5" s="165"/>
      <c r="E5" s="165"/>
      <c r="F5" s="165"/>
      <c r="G5" s="165"/>
    </row>
    <row r="6" spans="1:7" x14ac:dyDescent="0.25">
      <c r="A6" s="158" t="s">
        <v>27</v>
      </c>
      <c r="B6" s="164" t="s">
        <v>219</v>
      </c>
      <c r="C6" s="165"/>
      <c r="D6" s="165">
        <f>B1</f>
        <v>1</v>
      </c>
      <c r="E6" s="165">
        <f>B1</f>
        <v>1</v>
      </c>
      <c r="F6" s="165"/>
      <c r="G6" s="165">
        <f>B1</f>
        <v>1</v>
      </c>
    </row>
    <row r="7" spans="1:7" x14ac:dyDescent="0.25">
      <c r="A7" s="158" t="s">
        <v>36</v>
      </c>
      <c r="B7" s="164" t="s">
        <v>220</v>
      </c>
      <c r="C7" s="165"/>
      <c r="D7" s="165">
        <f>B1</f>
        <v>1</v>
      </c>
      <c r="E7" s="165"/>
      <c r="F7" s="165"/>
      <c r="G7" s="165">
        <f>B1</f>
        <v>1</v>
      </c>
    </row>
    <row r="8" spans="1:7" x14ac:dyDescent="0.25">
      <c r="A8" s="158" t="s">
        <v>65</v>
      </c>
      <c r="B8" s="164" t="s">
        <v>221</v>
      </c>
      <c r="C8" s="165"/>
      <c r="D8" s="165">
        <f>B1</f>
        <v>1</v>
      </c>
      <c r="E8" s="165">
        <f>B1</f>
        <v>1</v>
      </c>
      <c r="F8" s="165"/>
      <c r="G8" s="165">
        <f>B1</f>
        <v>1</v>
      </c>
    </row>
    <row r="9" spans="1:7" x14ac:dyDescent="0.25">
      <c r="A9" s="158" t="s">
        <v>66</v>
      </c>
      <c r="B9" s="164" t="s">
        <v>222</v>
      </c>
      <c r="C9" s="165"/>
      <c r="D9" s="165">
        <f>B1</f>
        <v>1</v>
      </c>
      <c r="E9" s="165"/>
      <c r="F9" s="165"/>
      <c r="G9" s="165">
        <f>B1</f>
        <v>1</v>
      </c>
    </row>
    <row r="10" spans="1:7" x14ac:dyDescent="0.25">
      <c r="A10" s="158" t="s">
        <v>67</v>
      </c>
      <c r="B10" s="164" t="s">
        <v>223</v>
      </c>
      <c r="C10" s="165"/>
      <c r="D10" s="165">
        <f>B1</f>
        <v>1</v>
      </c>
      <c r="E10" s="165">
        <f>B1</f>
        <v>1</v>
      </c>
      <c r="F10" s="165"/>
      <c r="G10" s="165">
        <f>B1</f>
        <v>1</v>
      </c>
    </row>
    <row r="11" spans="1:7" x14ac:dyDescent="0.25">
      <c r="A11" s="158" t="s">
        <v>68</v>
      </c>
      <c r="B11" s="164" t="s">
        <v>224</v>
      </c>
      <c r="C11" s="165"/>
      <c r="D11" s="165">
        <f>B1</f>
        <v>1</v>
      </c>
      <c r="E11" s="165"/>
      <c r="F11" s="165"/>
      <c r="G11" s="165">
        <f>B1</f>
        <v>1</v>
      </c>
    </row>
    <row r="12" spans="1:7" x14ac:dyDescent="0.25">
      <c r="A12" s="158" t="s">
        <v>69</v>
      </c>
      <c r="B12" s="164" t="s">
        <v>225</v>
      </c>
      <c r="C12" s="165"/>
      <c r="D12" s="165"/>
      <c r="E12" s="165">
        <f>B1</f>
        <v>1</v>
      </c>
      <c r="F12" s="165"/>
      <c r="G12" s="165">
        <f>B1</f>
        <v>1</v>
      </c>
    </row>
    <row r="13" spans="1:7" x14ac:dyDescent="0.25">
      <c r="A13" s="158" t="s">
        <v>70</v>
      </c>
      <c r="B13" s="164" t="s">
        <v>226</v>
      </c>
      <c r="C13" s="165"/>
      <c r="D13" s="165"/>
      <c r="E13" s="165"/>
      <c r="F13" s="165"/>
      <c r="G13" s="165">
        <f>B1</f>
        <v>1</v>
      </c>
    </row>
    <row r="14" spans="1:7" x14ac:dyDescent="0.25">
      <c r="A14" s="158" t="s">
        <v>71</v>
      </c>
      <c r="B14" s="164" t="s">
        <v>227</v>
      </c>
      <c r="C14" s="165"/>
      <c r="D14" s="166">
        <f>B1</f>
        <v>1</v>
      </c>
      <c r="E14" s="165">
        <f>B1</f>
        <v>1</v>
      </c>
      <c r="F14" s="165"/>
      <c r="G14" s="165">
        <f>B1</f>
        <v>1</v>
      </c>
    </row>
    <row r="15" spans="1:7" x14ac:dyDescent="0.25">
      <c r="A15" s="158" t="s">
        <v>72</v>
      </c>
      <c r="B15" s="164" t="s">
        <v>228</v>
      </c>
      <c r="C15" s="165"/>
      <c r="D15" s="166">
        <f>B1</f>
        <v>1</v>
      </c>
      <c r="E15" s="165"/>
      <c r="F15" s="165"/>
      <c r="G15" s="165">
        <f>B1</f>
        <v>1</v>
      </c>
    </row>
    <row r="16" spans="1:7" ht="30" x14ac:dyDescent="0.25">
      <c r="A16" s="158">
        <v>5</v>
      </c>
      <c r="B16" s="164" t="s">
        <v>231</v>
      </c>
      <c r="C16" s="165">
        <f>B1</f>
        <v>1</v>
      </c>
      <c r="D16" s="165"/>
      <c r="E16" s="165"/>
      <c r="F16" s="165"/>
      <c r="G16" s="165"/>
    </row>
    <row r="17" spans="1:7" x14ac:dyDescent="0.25">
      <c r="A17" s="158">
        <v>6</v>
      </c>
      <c r="B17" s="164" t="s">
        <v>297</v>
      </c>
      <c r="C17" s="165"/>
      <c r="D17" s="165">
        <f>B1</f>
        <v>1</v>
      </c>
      <c r="E17" s="165">
        <f>B1</f>
        <v>1</v>
      </c>
      <c r="F17" s="165"/>
      <c r="G17" s="165">
        <f>B1</f>
        <v>1</v>
      </c>
    </row>
    <row r="18" spans="1:7" ht="30" x14ac:dyDescent="0.25">
      <c r="A18" s="167">
        <v>7</v>
      </c>
      <c r="B18" s="168" t="s">
        <v>298</v>
      </c>
    </row>
    <row r="19" spans="1:7" x14ac:dyDescent="0.25">
      <c r="B19" s="164"/>
    </row>
    <row r="20" spans="1:7" x14ac:dyDescent="0.25">
      <c r="A20" s="169"/>
    </row>
  </sheetData>
  <phoneticPr fontId="5" type="noConversion"/>
  <pageMargins left="0.7" right="0.7" top="0.75" bottom="0.75" header="0.3" footer="0.3"/>
  <pageSetup paperSize="9" scale="78" fitToHeight="0" orientation="landscape" horizontalDpi="4294967293" verticalDpi="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E5592-8C18-421C-88BF-4A8DD2D1F3EB}">
  <sheetPr codeName="Sheet9"/>
  <dimension ref="A1:L28"/>
  <sheetViews>
    <sheetView topLeftCell="A3" workbookViewId="0">
      <selection activeCell="E8" sqref="E8"/>
    </sheetView>
  </sheetViews>
  <sheetFormatPr defaultRowHeight="15" x14ac:dyDescent="0.25"/>
  <sheetData>
    <row r="1" spans="1:12" x14ac:dyDescent="0.25">
      <c r="A1" t="str">
        <f>Adviesrichting!A16</f>
        <v>0-1-2-3a-3b-4a1-4a2-4b1-4b2-4c1-4c2</v>
      </c>
      <c r="D1" t="s">
        <v>254</v>
      </c>
    </row>
    <row r="3" spans="1:12" x14ac:dyDescent="0.25">
      <c r="A3" s="120" t="s">
        <v>232</v>
      </c>
      <c r="B3" t="b">
        <f>ISNUMBER(SEARCH(A3,A$1))</f>
        <v>1</v>
      </c>
      <c r="C3">
        <v>1</v>
      </c>
      <c r="D3" t="s">
        <v>255</v>
      </c>
      <c r="E3" s="133">
        <f>IF(AND('stringopbouw advies'!Q15=1,'stringopbouw advies'!Q17=1,'stringopbouw advies'!Q18=2,ISNUMBER(SEARCH("DXe",'tussenstap advies'!C19)),ISNUMBER(SEARCH("DXe",'tussenstap advies'!D19))),1,0)</f>
        <v>0</v>
      </c>
      <c r="F3" s="133" t="s">
        <v>323</v>
      </c>
      <c r="G3" s="133">
        <v>17</v>
      </c>
      <c r="H3" s="133" t="s">
        <v>275</v>
      </c>
      <c r="I3" s="133">
        <f>IF(AND('stringopbouw advies'!Q15=3,OR('stringopbouw advies'!Q17=1,'stringopbouw advies'!Q17=3,'stringopbouw advies'!Q17=5),OR('stringopbouw advies'!Q18=0,'stringopbouw advies'!Q18=1),ISNUMBER(SEARCH("DPS",'tussenstap advies'!C27)),ISNUMBER(SEARCH("DPS",'tussenstap advies'!D27))),1,IF(AND('stringopbouw advies'!Q15=3,OR('stringopbouw advies'!Q17=1,'stringopbouw advies'!Q17=3,'stringopbouw advies'!Q17=5),OR('stringopbouw advies'!Q18=0,'stringopbouw advies'!Q18=1),ISNUMBER(SEARCH("DPS",'tussenstap advies'!C28)),ISNUMBER(SEARCH("DPS",'tussenstap advies'!D28))),IF('tussenstap advies'!B27="",0,1),0))</f>
        <v>0</v>
      </c>
      <c r="J3" s="133" t="s">
        <v>329</v>
      </c>
      <c r="K3" s="133"/>
      <c r="L3" s="133"/>
    </row>
    <row r="4" spans="1:12" x14ac:dyDescent="0.25">
      <c r="A4" s="120" t="s">
        <v>233</v>
      </c>
      <c r="B4" t="b">
        <f t="shared" ref="B4:B16" si="0">ISNUMBER(SEARCH(A4,A$1))</f>
        <v>1</v>
      </c>
      <c r="C4">
        <v>2</v>
      </c>
      <c r="D4" t="s">
        <v>256</v>
      </c>
      <c r="E4" s="133">
        <f>IF(AND('stringopbouw advies'!Q15=2,'stringopbouw advies'!Q17=1,'stringopbouw advies'!Q18=2,ISNUMBER(SEARCH("DXc",'tussenstap advies'!C19)),ISNUMBER(SEARCH("DXc",'tussenstap advies'!D19))),1,0)</f>
        <v>0</v>
      </c>
      <c r="F4" s="133" t="s">
        <v>324</v>
      </c>
      <c r="G4" s="133">
        <v>18</v>
      </c>
      <c r="H4" s="133" t="s">
        <v>276</v>
      </c>
      <c r="I4" s="133">
        <f>IF(AND('stringopbouw advies'!Q15=3,OR('stringopbouw advies'!Q17=1,'stringopbouw advies'!Q17=3,'stringopbouw advies'!Q17=5),OR('stringopbouw advies'!Q18=0,'stringopbouw advies'!Q18=1),ISNUMBER(SEARCH("DPS",'tussenstap advies'!C27)),ISNUMBER(SEARCH("DPS",'tussenstap advies'!D27))),1,IF(AND('stringopbouw advies'!Q15=3,OR('stringopbouw advies'!Q17=1,'stringopbouw advies'!Q17=3,'stringopbouw advies'!Q17=5),OR('stringopbouw advies'!Q18=0,'stringopbouw advies'!Q18=1),ISNUMBER(SEARCH("DPS",'tussenstap advies'!C28)),ISNUMBER(SEARCH("DPS",'tussenstap advies'!D28))),1,0))</f>
        <v>0</v>
      </c>
      <c r="J4" s="133" t="s">
        <v>333</v>
      </c>
      <c r="K4" s="133"/>
      <c r="L4" s="133"/>
    </row>
    <row r="5" spans="1:12" x14ac:dyDescent="0.25">
      <c r="A5" s="7" t="s">
        <v>27</v>
      </c>
      <c r="B5" t="b">
        <f t="shared" si="0"/>
        <v>1</v>
      </c>
      <c r="C5">
        <v>3</v>
      </c>
      <c r="D5" t="s">
        <v>257</v>
      </c>
      <c r="E5" s="133">
        <f>IF(AND('stringopbouw advies'!Q15=2,OR('stringopbouw advies'!Q17=4,'stringopbouw advies'!Q17=6,'stringopbouw advies'!Q17=8),'stringopbouw advies'!Q18=2,ISNUMBER(SEARCH("DXc",'tussenstap advies'!C20)),ISNUMBER(SEARCH("IDPS",'tussenstap advies'!D20))),1,0)</f>
        <v>0</v>
      </c>
      <c r="F5" s="133" t="s">
        <v>316</v>
      </c>
      <c r="G5" s="133">
        <v>19</v>
      </c>
      <c r="H5" s="133" t="s">
        <v>277</v>
      </c>
      <c r="I5" s="133">
        <f>IF(AND('stringopbouw advies'!Q15=3,OR('stringopbouw advies'!Q17=1,'stringopbouw advies'!Q17=4,'stringopbouw advies'!Q17=6),OR('stringopbouw advies'!Q18=0,'stringopbouw advies'!Q18=1),ISNUMBER(SEARCH("DPS",'tussenstap advies'!C29)),ISNUMBER(SEARCH("IDPS",'tussenstap advies'!D29))),1,IF(AND('stringopbouw advies'!Q15=3,OR('stringopbouw advies'!Q17=1,'stringopbouw advies'!Q17=4,'stringopbouw advies'!Q17=6),OR('stringopbouw advies'!Q18=0,'stringopbouw advies'!Q18=1),ISNUMBER(SEARCH("DPS",'tussenstap advies'!C30)),ISNUMBER(SEARCH("IDPS",'tussenstap advies'!D30))),1,0))</f>
        <v>0</v>
      </c>
      <c r="J5" s="133" t="s">
        <v>337</v>
      </c>
      <c r="K5" s="133"/>
      <c r="L5" s="133"/>
    </row>
    <row r="6" spans="1:12" x14ac:dyDescent="0.25">
      <c r="A6" s="7" t="s">
        <v>36</v>
      </c>
      <c r="B6" t="b">
        <f t="shared" si="0"/>
        <v>1</v>
      </c>
      <c r="C6">
        <v>4</v>
      </c>
      <c r="D6" t="s">
        <v>258</v>
      </c>
      <c r="E6" s="133">
        <f>IF(AND('stringopbouw advies'!Q15=1,'stringopbouw advies'!Q17=1,OR('stringopbouw advies'!Q18=0,'stringopbouw advies'!Q18=1),OR(AND(ISNUMBER(SEARCH("DXe",'tussenstap advies'!C21)),ISNUMBER(SEARCH("DXe",'tussenstap advies'!D21)),AND(ISNUMBER(SEARCH("DXe",'tussenstap advies'!C22)),ISNUMBER(SEARCH("DXe",'tussenstap advies'!D22)))))),1,0)</f>
        <v>0</v>
      </c>
      <c r="F6" s="133" t="s">
        <v>325</v>
      </c>
      <c r="G6" s="133">
        <v>20</v>
      </c>
      <c r="H6" s="133" t="s">
        <v>278</v>
      </c>
      <c r="I6" s="133">
        <f>IF(AND('stringopbouw advies'!Q15=3,OR('stringopbouw advies'!Q17=1,'stringopbouw advies'!Q17=4,'stringopbouw advies'!Q17=6),OR('stringopbouw advies'!Q18=0,'stringopbouw advies'!Q18=1),ISNUMBER(SEARCH("DPS",'tussenstap advies'!C29)),ISNUMBER(SEARCH("IDPS",'tussenstap advies'!D29))),1,IF(AND('stringopbouw advies'!Q15=3,OR('stringopbouw advies'!Q17=1,'stringopbouw advies'!Q17=4,'stringopbouw advies'!Q17=6),OR('stringopbouw advies'!Q18=0,'stringopbouw advies'!Q18=1),ISNUMBER(SEARCH("DPS",'tussenstap advies'!C30)),ISNUMBER(SEARCH("IDPS",'tussenstap advies'!D30))),1,0))</f>
        <v>0</v>
      </c>
      <c r="J6" s="133" t="s">
        <v>341</v>
      </c>
      <c r="K6" s="133"/>
      <c r="L6" s="133"/>
    </row>
    <row r="7" spans="1:12" x14ac:dyDescent="0.25">
      <c r="A7" s="7" t="s">
        <v>65</v>
      </c>
      <c r="B7" t="b">
        <f t="shared" si="0"/>
        <v>1</v>
      </c>
      <c r="C7">
        <v>5</v>
      </c>
      <c r="D7" t="s">
        <v>259</v>
      </c>
      <c r="E7" s="133">
        <f>IF(AND('stringopbouw advies'!Q15=2,'stringopbouw advies'!Q17=1,OR('stringopbouw advies'!Q18=0,'stringopbouw advies'!Q18=1),OR(AND(ISNUMBER(SEARCH("DXc",'tussenstap advies'!C21)),ISNUMBER(SEARCH("DXc",'tussenstap advies'!D21))),AND(ISNUMBER(SEARCH("DXc",'tussenstap advies'!C22)),ISNUMBER(SEARCH("DXc",'tussenstap advies'!D22))))),1,0)</f>
        <v>0</v>
      </c>
      <c r="F7" s="133" t="s">
        <v>317</v>
      </c>
      <c r="G7" s="133">
        <v>21</v>
      </c>
      <c r="H7" s="133" t="s">
        <v>279</v>
      </c>
      <c r="I7" s="133">
        <f>IF(AND('stringopbouw advies'!Q15=3,OR('stringopbouw advies'!Q17=1,'stringopbouw advies'!Q17=4,'stringopbouw advies'!Q17=6),OR('stringopbouw advies'!Q18=0,'stringopbouw advies'!Q18=1),ISNUMBER(SEARCH("DPS",'tussenstap advies'!C29)),ISNUMBER(SEARCH("IDPS",'tussenstap advies'!D29))),1,IF(AND('stringopbouw advies'!Q15=3,OR('stringopbouw advies'!Q17=1,'stringopbouw advies'!Q17=4,'stringopbouw advies'!Q17=6),OR('stringopbouw advies'!Q18=0,'stringopbouw advies'!Q18=1),ISNUMBER(SEARCH("DPS",'tussenstap advies'!C30)),ISNUMBER(SEARCH("IDPS",'tussenstap advies'!D30))),1,0))</f>
        <v>0</v>
      </c>
      <c r="J7" s="133" t="s">
        <v>345</v>
      </c>
      <c r="K7" s="133"/>
      <c r="L7" s="133"/>
    </row>
    <row r="8" spans="1:12" x14ac:dyDescent="0.25">
      <c r="A8" s="7" t="s">
        <v>66</v>
      </c>
      <c r="B8" t="b">
        <f t="shared" si="0"/>
        <v>1</v>
      </c>
      <c r="C8">
        <v>6</v>
      </c>
      <c r="D8" t="s">
        <v>264</v>
      </c>
      <c r="E8" s="133">
        <f>IF(AND('stringopbouw advies'!Q15=1,'stringopbouw advies'!Q17=1,OR('stringopbouw advies'!Q18=0,'stringopbouw advies'!Q18=1),OR(ISNUMBER(SEARCH("DXe",'tussenstap advies'!C23)),ISNUMBER(SEARCH("DXe",'tussenstap advies'!C24))),OR(ISNUMBER(SEARCH("DXe",'tussenstap advies'!D23)),ISNUMBER(SEARCH("DXe",'tussenstap advies'!D24)))),1,IF(AND('stringopbouw advies'!Q15=1,'stringopbouw advies'!Q17=2,OR('stringopbouw advies'!Q18=0,'stringopbouw advies'!Q18=1),ISNUMBER(SEARCH("DXe",'tussenstap advies'!C26)),ISNUMBER(SEARCH("DXc",'tussenstap advies'!D26))),1,0))</f>
        <v>0</v>
      </c>
      <c r="F8" s="133" t="s">
        <v>315</v>
      </c>
      <c r="G8" s="133">
        <v>22</v>
      </c>
      <c r="H8" s="133" t="s">
        <v>280</v>
      </c>
      <c r="I8" s="133">
        <f>IF('stringopbouw advies'!Q20=1,0,IF(AND('stringopbouw advies'!Q15=3,OR('stringopbouw advies'!Q17=1,'stringopbouw advies'!Q17=4,'stringopbouw advies'!Q17=6),OR('stringopbouw advies'!Q18=0,'stringopbouw advies'!Q18=1),ISNUMBER(SEARCH("DPS",'tussenstap advies'!C29)),ISNUMBER(SEARCH("IDPS",'tussenstap advies'!D29))),1,IF(AND('stringopbouw advies'!Q15=3,OR('stringopbouw advies'!Q17=1,'stringopbouw advies'!Q17=4,'stringopbouw advies'!Q17=6),OR('stringopbouw advies'!Q18=0,'stringopbouw advies'!Q18=1),ISNUMBER(SEARCH("DPS",'tussenstap advies'!C30)),ISNUMBER(SEARCH("IDPS",'tussenstap advies'!D30))),1,0)))</f>
        <v>0</v>
      </c>
      <c r="J8" s="133" t="s">
        <v>349</v>
      </c>
      <c r="K8" s="133"/>
      <c r="L8" s="133"/>
    </row>
    <row r="9" spans="1:12" x14ac:dyDescent="0.25">
      <c r="A9" s="7" t="s">
        <v>67</v>
      </c>
      <c r="B9" t="b">
        <f t="shared" si="0"/>
        <v>1</v>
      </c>
      <c r="C9">
        <v>7</v>
      </c>
      <c r="D9" t="s">
        <v>265</v>
      </c>
      <c r="E9" s="133">
        <f>IF('stringopbouw advies'!Q20=1,0,IF(AND('stringopbouw advies'!Q15=1,'stringopbouw advies'!Q17=1,OR('stringopbouw advies'!Q18=0,'stringopbouw advies'!Q18=1),OR(ISNUMBER(SEARCH("DXe",'tussenstap advies'!C23)),ISNUMBER(SEARCH("DXe",'tussenstap advies'!C24))),OR(ISNUMBER(SEARCH("DXe",'tussenstap advies'!D23)),ISNUMBER(SEARCH("DXe",'tussenstap advies'!D24)))),1,IF(AND('stringopbouw advies'!Q15=1,'stringopbouw advies'!Q17=2,OR('stringopbouw advies'!Q18=0,'stringopbouw advies'!Q18=1),ISNUMBER(SEARCH("DXe",'tussenstap advies'!C26)),ISNUMBER(SEARCH("DXc",'tussenstap advies'!D26))),1,0)))</f>
        <v>0</v>
      </c>
      <c r="F9" s="133" t="s">
        <v>326</v>
      </c>
      <c r="G9" s="133">
        <v>23</v>
      </c>
      <c r="H9" s="133" t="s">
        <v>281</v>
      </c>
      <c r="I9" s="133">
        <f>IF(AND('stringopbouw advies'!Q15=3,OR('stringopbouw advies'!Q17=1,'stringopbouw advies'!Q17=4,'stringopbouw advies'!Q17=6),OR('stringopbouw advies'!Q18=0,'stringopbouw advies'!Q18=1),ISNUMBER(SEARCH("DPS",'tussenstap advies'!C29)),ISNUMBER(SEARCH("IDPS",'tussenstap advies'!D29))),1,IF(AND('stringopbouw advies'!Q15=3,OR('stringopbouw advies'!Q17=1,'stringopbouw advies'!Q17=4,'stringopbouw advies'!Q17=6),OR('stringopbouw advies'!Q18=0,'stringopbouw advies'!Q18=1),ISNUMBER(SEARCH("DPS",'tussenstap advies'!C30)),ISNUMBER(SEARCH("IDPS",'tussenstap advies'!D30))),1,0))</f>
        <v>0</v>
      </c>
      <c r="J9" s="133" t="s">
        <v>320</v>
      </c>
      <c r="K9" s="133"/>
      <c r="L9" s="133"/>
    </row>
    <row r="10" spans="1:12" x14ac:dyDescent="0.25">
      <c r="A10" s="7" t="s">
        <v>68</v>
      </c>
      <c r="B10" t="b">
        <f t="shared" si="0"/>
        <v>1</v>
      </c>
      <c r="C10">
        <v>8</v>
      </c>
      <c r="D10" t="s">
        <v>266</v>
      </c>
      <c r="E10" s="133">
        <f>IF(AND('stringopbouw advies'!Q15=2,'stringopbouw advies'!Q17=1,OR('stringopbouw advies'!Q18=0,'stringopbouw advies'!Q18=1),OR(ISNUMBER(SEARCH("DXc",'tussenstap advies'!C25)),ISNUMBER(SEARCH("DXc",'tussenstap advies'!C26))),OR(ISNUMBER(SEARCH("DXc",'tussenstap advies'!D25)),ISNUMBER(SEARCH("DXc",'tussenstap advies'!D26)))),1,0)</f>
        <v>0</v>
      </c>
      <c r="F10" s="133" t="s">
        <v>318</v>
      </c>
      <c r="G10" s="133">
        <v>24</v>
      </c>
      <c r="H10" s="133" t="s">
        <v>282</v>
      </c>
      <c r="I10" s="133">
        <f>IF(AND('stringopbouw advies'!Q15=4,OR('stringopbouw advies'!Q17=1,'stringopbouw advies'!Q17=3,'stringopbouw advies'!Q17=5,'stringopbouw advies'!Q17=7),OR('stringopbouw advies'!Q18=0,'stringopbouw advies'!Q18=1),ISNUMBER(SEARCH("DPS",'tussenstap advies'!C27)),ISNUMBER(SEARCH("DPS",'tussenstap advies'!D27))),1,IF(AND('stringopbouw advies'!Q15=4,OR('stringopbouw advies'!Q17=1,'stringopbouw advies'!Q17=3,'stringopbouw advies'!Q17=5,'stringopbouw advies'!Q17=7),OR('stringopbouw advies'!Q18=0,'stringopbouw advies'!Q18=1),ISNUMBER(SEARCH("DPS",'tussenstap advies'!C28)),ISNUMBER(SEARCH("DPS",'tussenstap advies'!D28))),IF('tussenstap advies'!B27="",0,1),0))</f>
        <v>0</v>
      </c>
      <c r="J10" s="133" t="s">
        <v>330</v>
      </c>
      <c r="K10" s="133"/>
      <c r="L10" s="133"/>
    </row>
    <row r="11" spans="1:12" x14ac:dyDescent="0.25">
      <c r="A11" s="7" t="s">
        <v>69</v>
      </c>
      <c r="B11" t="b">
        <f t="shared" si="0"/>
        <v>1</v>
      </c>
      <c r="C11">
        <v>9</v>
      </c>
      <c r="D11" t="s">
        <v>267</v>
      </c>
      <c r="E11" s="133">
        <f>IF(AND('stringopbouw advies'!Q15=2,'stringopbouw advies'!Q17=1,OR('stringopbouw advies'!Q18=0,'stringopbouw advies'!Q18=1),ISNUMBER(SEARCH("DXc",'tussenstap advies'!C25)),ISNUMBER(SEARCH("DXc",'tussenstap advies'!D25))),1,0)</f>
        <v>0</v>
      </c>
      <c r="F11" s="133" t="s">
        <v>327</v>
      </c>
      <c r="G11" s="133">
        <v>25</v>
      </c>
      <c r="H11" s="133" t="s">
        <v>283</v>
      </c>
      <c r="I11" s="133">
        <f>IF(AND('stringopbouw advies'!Q15=4,OR('stringopbouw advies'!Q17=1,'stringopbouw advies'!Q17=3,'stringopbouw advies'!Q17=5,'stringopbouw advies'!Q17=7),OR('stringopbouw advies'!Q18=0,'stringopbouw advies'!Q18=1),ISNUMBER(SEARCH("DPS",'tussenstap advies'!C27)),ISNUMBER(SEARCH("DPS",'tussenstap advies'!D27))),1,IF(AND('stringopbouw advies'!Q15=4,OR('stringopbouw advies'!Q17=1,'stringopbouw advies'!Q17=3,'stringopbouw advies'!Q17=5,'stringopbouw advies'!Q17=7),OR('stringopbouw advies'!Q18=0,'stringopbouw advies'!Q18=1),ISNUMBER(SEARCH("DPS",'tussenstap advies'!C28)),ISNUMBER(SEARCH("DPS",'tussenstap advies'!D28))),1,0))</f>
        <v>0</v>
      </c>
      <c r="J11" s="133" t="s">
        <v>334</v>
      </c>
      <c r="K11" s="133"/>
      <c r="L11" s="133"/>
    </row>
    <row r="12" spans="1:12" x14ac:dyDescent="0.25">
      <c r="A12" s="7" t="s">
        <v>70</v>
      </c>
      <c r="B12" t="b">
        <f t="shared" si="0"/>
        <v>1</v>
      </c>
      <c r="C12">
        <v>10</v>
      </c>
      <c r="D12" t="s">
        <v>268</v>
      </c>
      <c r="E12" s="133">
        <f>IF(AND('stringopbouw advies'!Q15=2,OR('stringopbouw advies'!Q17=3,'stringopbouw advies'!Q17=5),OR('stringopbouw advies'!Q18=0,'stringopbouw advies'!Q18=1),ISNUMBER(SEARCH("DXc",'tussenstap advies'!C27)),ISNUMBER(SEARCH("DPS",'tussenstap advies'!D27))),1,IF(AND('stringopbouw advies'!Q15=2,OR('stringopbouw advies'!Q17=3,'stringopbouw advies'!Q17=5),OR('stringopbouw advies'!Q18=0,'stringopbouw advies'!Q18=1),ISNUMBER(SEARCH("DXc",'tussenstap advies'!C28)),ISNUMBER(SEARCH("DPS",'tussenstap advies'!D28))),IF('tussenstap advies'!B27="",0,1),0))</f>
        <v>0</v>
      </c>
      <c r="F12" s="133" t="s">
        <v>328</v>
      </c>
      <c r="G12" s="133">
        <v>26</v>
      </c>
      <c r="H12" s="133" t="s">
        <v>284</v>
      </c>
      <c r="I12" s="133">
        <f>IF(AND('stringopbouw advies'!Q15=4,OR('stringopbouw advies'!Q17=1,'stringopbouw advies'!Q17=4,'stringopbouw advies'!Q17=6,'stringopbouw advies'!Q17=8),OR('stringopbouw advies'!Q18=0,'stringopbouw advies'!Q18=1),ISNUMBER(SEARCH("DPS",'tussenstap advies'!C29)),ISNUMBER(SEARCH("IDPS",'tussenstap advies'!D29))),1,IF(AND('stringopbouw advies'!Q15=4,OR('stringopbouw advies'!Q17=1,'stringopbouw advies'!Q17=4,'stringopbouw advies'!Q17=6,'stringopbouw advies'!Q17=8),OR('stringopbouw advies'!Q18=0,'stringopbouw advies'!Q18=1),ISNUMBER(SEARCH("DPS",'tussenstap advies'!C30)),ISNUMBER(SEARCH("IDPS",'tussenstap advies'!D30))),1,0))</f>
        <v>0</v>
      </c>
      <c r="J12" s="133" t="s">
        <v>338</v>
      </c>
      <c r="K12" s="133"/>
      <c r="L12" s="133"/>
    </row>
    <row r="13" spans="1:12" x14ac:dyDescent="0.25">
      <c r="A13" s="7" t="s">
        <v>71</v>
      </c>
      <c r="B13" t="b">
        <f t="shared" si="0"/>
        <v>0</v>
      </c>
      <c r="C13">
        <v>11</v>
      </c>
      <c r="D13" t="s">
        <v>269</v>
      </c>
      <c r="E13" s="133">
        <f>IF(AND('stringopbouw advies'!Q15=2,OR('stringopbouw advies'!Q17=3,'stringopbouw advies'!Q17=5),OR('stringopbouw advies'!Q18=0,'stringopbouw advies'!Q18=1),ISNUMBER(SEARCH("DXc",'tussenstap advies'!C27)),ISNUMBER(SEARCH("DPS",'tussenstap advies'!D27))),1,IF(AND('stringopbouw advies'!Q15=2,OR('stringopbouw advies'!Q17=3,'stringopbouw advies'!Q17=5),OR('stringopbouw advies'!Q18=0,'stringopbouw advies'!Q18=1),ISNUMBER(SEARCH("DXc",'tussenstap advies'!C28)),ISNUMBER(SEARCH("DPS",'tussenstap advies'!D28))),1,0))</f>
        <v>0</v>
      </c>
      <c r="F13" s="133" t="s">
        <v>332</v>
      </c>
      <c r="G13" s="133">
        <v>27</v>
      </c>
      <c r="H13" s="133" t="s">
        <v>285</v>
      </c>
      <c r="I13" s="133">
        <f>IF(AND('stringopbouw advies'!Q15=4,OR('stringopbouw advies'!Q17=1,'stringopbouw advies'!Q17=4,'stringopbouw advies'!Q17=6,'stringopbouw advies'!Q17=8),OR('stringopbouw advies'!Q18=0,'stringopbouw advies'!Q18=1),ISNUMBER(SEARCH("DPS",'tussenstap advies'!C29)),ISNUMBER(SEARCH("IDPS",'tussenstap advies'!D29))),1,IF(AND('stringopbouw advies'!Q15=4,OR('stringopbouw advies'!Q17=1,'stringopbouw advies'!Q17=4,'stringopbouw advies'!Q17=6,'stringopbouw advies'!Q17=8),OR('stringopbouw advies'!Q18=0,'stringopbouw advies'!Q18=1),ISNUMBER(SEARCH("DPS",'tussenstap advies'!C30)),ISNUMBER(SEARCH("IDPS",'tussenstap advies'!D30))),1,0))</f>
        <v>0</v>
      </c>
      <c r="J13" s="133" t="s">
        <v>342</v>
      </c>
      <c r="K13" s="133"/>
      <c r="L13" s="133"/>
    </row>
    <row r="14" spans="1:12" x14ac:dyDescent="0.25">
      <c r="A14" s="7" t="s">
        <v>72</v>
      </c>
      <c r="B14" t="b">
        <f t="shared" si="0"/>
        <v>0</v>
      </c>
      <c r="C14">
        <v>12</v>
      </c>
      <c r="D14" t="s">
        <v>270</v>
      </c>
      <c r="E14" s="133">
        <f>IF(AND('stringopbouw advies'!Q15=2,OR('stringopbouw advies'!Q17=4,'stringopbouw advies'!Q17=6),OR('stringopbouw advies'!Q18=0,'stringopbouw advies'!Q18=1),ISNUMBER(SEARCH("DXc",'tussenstap advies'!C29)),ISNUMBER(SEARCH("IDPS",'tussenstap advies'!D29))),1,IF(AND('stringopbouw advies'!Q15=2,OR('stringopbouw advies'!Q17=4,'stringopbouw advies'!Q17=6),OR('stringopbouw advies'!Q18=0,'stringopbouw advies'!Q18=1),ISNUMBER(SEARCH("DXc",'tussenstap advies'!C30)),ISNUMBER(SEARCH("IDPS",'tussenstap advies'!D30))),1,0))</f>
        <v>0</v>
      </c>
      <c r="F14" s="133" t="s">
        <v>336</v>
      </c>
      <c r="G14" s="133">
        <v>28</v>
      </c>
      <c r="H14" s="133" t="s">
        <v>286</v>
      </c>
      <c r="I14" s="133">
        <f>IF(AND('stringopbouw advies'!Q15=4,OR('stringopbouw advies'!Q17=1,'stringopbouw advies'!Q17=4,'stringopbouw advies'!Q17=6,'stringopbouw advies'!Q17=8),OR('stringopbouw advies'!Q18=0,'stringopbouw advies'!Q18=1),ISNUMBER(SEARCH("DPS",'tussenstap advies'!C29)),ISNUMBER(SEARCH("IDPS",'tussenstap advies'!D29))),1,IF(AND('stringopbouw advies'!Q15=4,OR('stringopbouw advies'!Q17=1,'stringopbouw advies'!Q17=4,'stringopbouw advies'!Q17=6,'stringopbouw advies'!Q17=8),OR('stringopbouw advies'!Q18=0,'stringopbouw advies'!Q18=1),ISNUMBER(SEARCH("DPS",'tussenstap advies'!C30)),ISNUMBER(SEARCH("IDPS",'tussenstap advies'!D30))),1,0))</f>
        <v>0</v>
      </c>
      <c r="J14" s="133" t="s">
        <v>346</v>
      </c>
      <c r="K14" s="133"/>
      <c r="L14" s="133"/>
    </row>
    <row r="15" spans="1:12" x14ac:dyDescent="0.25">
      <c r="A15" s="7">
        <v>5</v>
      </c>
      <c r="B15" t="b">
        <f t="shared" si="0"/>
        <v>0</v>
      </c>
      <c r="C15">
        <v>13</v>
      </c>
      <c r="D15" t="s">
        <v>271</v>
      </c>
      <c r="E15" s="133">
        <f>IF(AND('stringopbouw advies'!Q15=2,OR('stringopbouw advies'!Q17=4,'stringopbouw advies'!Q17=6),OR('stringopbouw advies'!Q18=0,'stringopbouw advies'!Q18=1),ISNUMBER(SEARCH("DXc",'tussenstap advies'!C29)),ISNUMBER(SEARCH("IDPS",'tussenstap advies'!D29))),1,IF(AND('stringopbouw advies'!Q15=2,OR('stringopbouw advies'!Q17=4,'stringopbouw advies'!Q17=6),OR('stringopbouw advies'!Q18=0,'stringopbouw advies'!Q18=1),ISNUMBER(SEARCH("DXc",'tussenstap advies'!C30)),ISNUMBER(SEARCH("IDPS",'tussenstap advies'!D30))),1,0))</f>
        <v>0</v>
      </c>
      <c r="F15" s="133" t="s">
        <v>340</v>
      </c>
      <c r="G15" s="133">
        <v>29</v>
      </c>
      <c r="H15" s="133" t="s">
        <v>287</v>
      </c>
      <c r="I15" s="133">
        <f>IF('stringopbouw advies'!Q20=1,0,IF(AND('stringopbouw advies'!Q15=4,OR('stringopbouw advies'!Q17=1,'stringopbouw advies'!Q17=4,'stringopbouw advies'!Q17=6,'stringopbouw advies'!Q17=8),OR('stringopbouw advies'!Q18=0,'stringopbouw advies'!Q18=1),ISNUMBER(SEARCH("DPS",'tussenstap advies'!C29)),ISNUMBER(SEARCH("IDPS",'tussenstap advies'!D29))),1,IF(AND('stringopbouw advies'!Q15=4,OR('stringopbouw advies'!Q17=1,'stringopbouw advies'!Q17=4,'stringopbouw advies'!Q17=6,'stringopbouw advies'!Q17=8),OR('stringopbouw advies'!Q18=0,'stringopbouw advies'!Q18=1),ISNUMBER(SEARCH("DPS",'tussenstap advies'!C30)),ISNUMBER(SEARCH("IDPS",'tussenstap advies'!D30))),1,0)))</f>
        <v>0</v>
      </c>
      <c r="J15" s="133" t="s">
        <v>350</v>
      </c>
      <c r="K15" s="133"/>
      <c r="L15" s="133"/>
    </row>
    <row r="16" spans="1:12" x14ac:dyDescent="0.25">
      <c r="A16" s="7">
        <v>6</v>
      </c>
      <c r="B16" t="b">
        <f t="shared" si="0"/>
        <v>0</v>
      </c>
      <c r="C16">
        <v>14</v>
      </c>
      <c r="D16" t="s">
        <v>272</v>
      </c>
      <c r="E16" s="133">
        <f>IF(AND('stringopbouw advies'!Q15=2,OR('stringopbouw advies'!Q17=4,'stringopbouw advies'!Q17=6),OR('stringopbouw advies'!Q18=0,'stringopbouw advies'!Q18=1),ISNUMBER(SEARCH("DXc",'tussenstap advies'!C29)),ISNUMBER(SEARCH("IDPS",'tussenstap advies'!D29))),1,IF(AND('stringopbouw advies'!Q15=2,OR('stringopbouw advies'!Q17=4,'stringopbouw advies'!Q17=6),OR('stringopbouw advies'!Q18=0,'stringopbouw advies'!Q18=1),ISNUMBER(SEARCH("DXc",'tussenstap advies'!C30)),ISNUMBER(SEARCH("IDPS",'tussenstap advies'!D30))),1,0))</f>
        <v>0</v>
      </c>
      <c r="F16" s="133" t="s">
        <v>344</v>
      </c>
      <c r="G16" s="133">
        <v>30</v>
      </c>
      <c r="H16" s="133" t="s">
        <v>288</v>
      </c>
      <c r="I16" s="133">
        <f>IF(AND('stringopbouw advies'!Q15=4,OR('stringopbouw advies'!Q17=1,'stringopbouw advies'!Q17=4,'stringopbouw advies'!Q17=6,'stringopbouw advies'!Q17=8),OR('stringopbouw advies'!Q18=0,'stringopbouw advies'!Q18=1),ISNUMBER(SEARCH("DPS",'tussenstap advies'!C29)),ISNUMBER(SEARCH("IDPS",'tussenstap advies'!D29))),1,IF(AND('stringopbouw advies'!Q15=4,OR('stringopbouw advies'!Q17=1,'stringopbouw advies'!Q17=4,'stringopbouw advies'!Q17=6,'stringopbouw advies'!Q17=8),OR('stringopbouw advies'!Q18=0,'stringopbouw advies'!Q18=1),ISNUMBER(SEARCH("DPS",'tussenstap advies'!C30)),ISNUMBER(SEARCH("IDPS",'tussenstap advies'!D30))),1,0))</f>
        <v>0</v>
      </c>
      <c r="J16" s="133" t="s">
        <v>321</v>
      </c>
      <c r="K16" s="133"/>
      <c r="L16" s="133"/>
    </row>
    <row r="17" spans="1:12" x14ac:dyDescent="0.25">
      <c r="C17">
        <v>15</v>
      </c>
      <c r="D17" t="s">
        <v>273</v>
      </c>
      <c r="E17" s="133">
        <f>IF('stringopbouw advies'!Q20=1,0,IF(AND('stringopbouw advies'!Q15=2,OR('stringopbouw advies'!Q17=4,'stringopbouw advies'!Q17=6),OR('stringopbouw advies'!Q18=0,'stringopbouw advies'!Q18=1),ISNUMBER(SEARCH("DXc",'tussenstap advies'!C29)),ISNUMBER(SEARCH("IDPS",'tussenstap advies'!D29))),1,IF(AND('stringopbouw advies'!Q15=2,OR('stringopbouw advies'!Q17=4,'stringopbouw advies'!Q17=6),OR('stringopbouw advies'!Q18=0,'stringopbouw advies'!Q18=1),ISNUMBER(SEARCH("DXc",'tussenstap advies'!C30)),ISNUMBER(SEARCH("IDPS",'tussenstap advies'!D30))),1,0)))</f>
        <v>0</v>
      </c>
      <c r="F17" s="133" t="s">
        <v>348</v>
      </c>
      <c r="G17" s="133">
        <v>31</v>
      </c>
      <c r="H17" s="133" t="s">
        <v>289</v>
      </c>
      <c r="I17" s="133">
        <f>IF(AND(OR('stringopbouw advies'!Q15=5,'stringopbouw advies'!Q15=6),OR('stringopbouw advies'!Q17=1,'stringopbouw advies'!Q17=3,'stringopbouw advies'!Q17=5,'stringopbouw advies'!Q17=7),OR('stringopbouw advies'!Q18=0,'stringopbouw advies'!Q18=1),ISNUMBER(SEARCH("DPS",'tussenstap advies'!C27)),ISNUMBER(SEARCH("DPS",'tussenstap advies'!D27))),1,IF(AND(OR('stringopbouw advies'!Q15=5,'stringopbouw advies'!Q15=6),OR('stringopbouw advies'!Q17=1,'stringopbouw advies'!Q17=3,'stringopbouw advies'!Q17=5,'stringopbouw advies'!Q17=7),OR('stringopbouw advies'!Q18=0,'stringopbouw advies'!Q18=1),ISNUMBER(SEARCH("DPS",'tussenstap advies'!C28)),ISNUMBER(SEARCH("DPS",'tussenstap advies'!D28))),IF('tussenstap advies'!B27="",0,1),0))</f>
        <v>0</v>
      </c>
      <c r="J17" s="133" t="s">
        <v>331</v>
      </c>
      <c r="K17" s="133"/>
      <c r="L17" s="133"/>
    </row>
    <row r="18" spans="1:12" x14ac:dyDescent="0.25">
      <c r="C18">
        <v>16</v>
      </c>
      <c r="D18" t="s">
        <v>274</v>
      </c>
      <c r="E18" s="133">
        <f>IF(AND('stringopbouw advies'!Q15=2,OR('stringopbouw advies'!Q17=4,'stringopbouw advies'!Q17=6),OR('stringopbouw advies'!Q18=0,'stringopbouw advies'!Q18=1),ISNUMBER(SEARCH("DXc",'tussenstap advies'!C29)),ISNUMBER(SEARCH("IDPS",'tussenstap advies'!D29))),1,IF(AND('stringopbouw advies'!Q15=2,OR('stringopbouw advies'!Q17=4,'stringopbouw advies'!Q17=6),OR('stringopbouw advies'!Q18=0,'stringopbouw advies'!Q18=1),ISNUMBER(SEARCH("DXc",'tussenstap advies'!C30)),ISNUMBER(SEARCH("IDPS",'tussenstap advies'!D30))),1,0))</f>
        <v>0</v>
      </c>
      <c r="F18" s="133" t="s">
        <v>319</v>
      </c>
      <c r="G18" s="133">
        <v>32</v>
      </c>
      <c r="H18" s="133" t="s">
        <v>290</v>
      </c>
      <c r="I18" s="133">
        <f>IF(AND(OR('stringopbouw advies'!Q15=5,'stringopbouw advies'!Q15=6),OR('stringopbouw advies'!Q17=1,'stringopbouw advies'!Q17=3,'stringopbouw advies'!Q17=5,'stringopbouw advies'!Q17=7),OR('stringopbouw advies'!Q18=0,'stringopbouw advies'!Q18=1),ISNUMBER(SEARCH("DPS",'tussenstap advies'!C27)),ISNUMBER(SEARCH("DPS",'tussenstap advies'!D27))),1,IF(AND(OR('stringopbouw advies'!Q15=5,'stringopbouw advies'!Q15=6),OR('stringopbouw advies'!Q17=1,'stringopbouw advies'!Q17=3,'stringopbouw advies'!Q17=5,'stringopbouw advies'!Q17=7),OR('stringopbouw advies'!Q18=0,'stringopbouw advies'!Q18=1),ISNUMBER(SEARCH("DPS",'tussenstap advies'!C28)),ISNUMBER(SEARCH("DPS",'tussenstap advies'!D28))),1,0))</f>
        <v>0</v>
      </c>
      <c r="J18" s="133" t="s">
        <v>335</v>
      </c>
      <c r="K18" s="133"/>
      <c r="L18" s="133"/>
    </row>
    <row r="19" spans="1:12" x14ac:dyDescent="0.25">
      <c r="E19" s="133"/>
      <c r="F19" s="133"/>
      <c r="G19" s="133">
        <v>33</v>
      </c>
      <c r="H19" s="133" t="s">
        <v>291</v>
      </c>
      <c r="I19" s="133">
        <f>IF(AND(OR('stringopbouw advies'!Q15=5,'stringopbouw advies'!Q15=6),OR('stringopbouw advies'!Q17=1,'stringopbouw advies'!Q17=4,'stringopbouw advies'!Q17=6,'stringopbouw advies'!Q17=8),OR('stringopbouw advies'!Q18=0,'stringopbouw advies'!Q18=1),ISNUMBER(SEARCH("IDPS",'tussenstap advies'!C29)),ISNUMBER(SEARCH("IDPS",'tussenstap advies'!D29))),1,IF(AND(OR('stringopbouw advies'!Q15=5,'stringopbouw advies'!Q15=6),OR('stringopbouw advies'!Q17=1,'stringopbouw advies'!Q17=4,'stringopbouw advies'!Q17=6,'stringopbouw advies'!Q17=8),OR('stringopbouw advies'!Q18=0,'stringopbouw advies'!Q18=1),ISNUMBER(SEARCH("IDPS",'tussenstap advies'!C30)),ISNUMBER(SEARCH("IDPS",'tussenstap advies'!D30))),1,0))</f>
        <v>0</v>
      </c>
      <c r="J19" s="133" t="s">
        <v>339</v>
      </c>
      <c r="K19" s="133"/>
      <c r="L19" s="133"/>
    </row>
    <row r="20" spans="1:12" x14ac:dyDescent="0.25">
      <c r="E20" s="133"/>
      <c r="F20" s="133"/>
      <c r="G20" s="133">
        <v>34</v>
      </c>
      <c r="H20" s="133" t="s">
        <v>291</v>
      </c>
      <c r="I20" s="133">
        <f>IF(AND(OR('stringopbouw advies'!Q15=5,'stringopbouw advies'!Q15=6),OR('stringopbouw advies'!Q17=1,'stringopbouw advies'!Q17=4,'stringopbouw advies'!Q17=6,'stringopbouw advies'!Q17=8),OR('stringopbouw advies'!Q18=0,'stringopbouw advies'!Q18=1),ISNUMBER(SEARCH("IDPS",'tussenstap advies'!C29)),ISNUMBER(SEARCH("IDPS",'tussenstap advies'!D29))),1,IF(AND(OR('stringopbouw advies'!Q15=5,'stringopbouw advies'!Q15=6),OR('stringopbouw advies'!Q17=1,'stringopbouw advies'!Q17=4,'stringopbouw advies'!Q17=6,'stringopbouw advies'!Q17=8),OR('stringopbouw advies'!Q18=0,'stringopbouw advies'!Q18=1),ISNUMBER(SEARCH("IDPS",'tussenstap advies'!C30)),ISNUMBER(SEARCH("IDPS",'tussenstap advies'!D30))),1,0))</f>
        <v>0</v>
      </c>
      <c r="J20" s="133" t="s">
        <v>343</v>
      </c>
      <c r="K20" s="133"/>
      <c r="L20" s="133"/>
    </row>
    <row r="21" spans="1:12" x14ac:dyDescent="0.25">
      <c r="E21" s="133"/>
      <c r="F21" s="133"/>
      <c r="G21" s="133">
        <v>35</v>
      </c>
      <c r="H21" s="133" t="s">
        <v>292</v>
      </c>
      <c r="I21" s="133">
        <f>IF(AND(OR('stringopbouw advies'!Q15=5,'stringopbouw advies'!Q15=6),OR('stringopbouw advies'!Q17=1,'stringopbouw advies'!Q17=4,'stringopbouw advies'!Q17=6,'stringopbouw advies'!Q17=8),OR('stringopbouw advies'!Q18=0,'stringopbouw advies'!Q18=1),ISNUMBER(SEARCH("IDPS",'tussenstap advies'!C29)),ISNUMBER(SEARCH("IDPS",'tussenstap advies'!D29))),1,IF(AND(OR('stringopbouw advies'!Q15=5,'stringopbouw advies'!Q15=6),OR('stringopbouw advies'!Q17=1,'stringopbouw advies'!Q17=4,'stringopbouw advies'!Q17=6,'stringopbouw advies'!Q17=8),OR('stringopbouw advies'!Q18=0,'stringopbouw advies'!Q18=1),ISNUMBER(SEARCH("IDPS",'tussenstap advies'!C30)),ISNUMBER(SEARCH("IDPS",'tussenstap advies'!D30))),1,0))</f>
        <v>0</v>
      </c>
      <c r="J21" s="133" t="s">
        <v>347</v>
      </c>
      <c r="K21" s="133"/>
      <c r="L21" s="133"/>
    </row>
    <row r="22" spans="1:12" x14ac:dyDescent="0.25">
      <c r="E22" s="133"/>
      <c r="F22" s="133"/>
      <c r="G22" s="133">
        <v>36</v>
      </c>
      <c r="H22" s="133" t="s">
        <v>293</v>
      </c>
      <c r="I22" s="133">
        <f>IF('stringopbouw advies'!Q20=1,0,IF(AND(OR('stringopbouw advies'!Q15=5,'stringopbouw advies'!Q15=6),OR('stringopbouw advies'!Q17=1,'stringopbouw advies'!Q17=4,'stringopbouw advies'!Q17=6,'stringopbouw advies'!Q17=8),OR('stringopbouw advies'!Q18=0,'stringopbouw advies'!Q18=1),ISNUMBER(SEARCH("IDPS",'tussenstap advies'!C29)),ISNUMBER(SEARCH("IDPS",'tussenstap advies'!D29))),1,IF(AND(OR('stringopbouw advies'!Q15=5,'stringopbouw advies'!Q15=6),OR('stringopbouw advies'!Q17=1,'stringopbouw advies'!Q17=4,'stringopbouw advies'!Q17=6,'stringopbouw advies'!Q17=8),OR('stringopbouw advies'!Q18=0,'stringopbouw advies'!Q18=1),ISNUMBER(SEARCH("IDPS",'tussenstap advies'!C30)),ISNUMBER(SEARCH("IDPS",'tussenstap advies'!D30))),1,0)))</f>
        <v>0</v>
      </c>
      <c r="J22" s="133" t="s">
        <v>351</v>
      </c>
      <c r="K22" s="133"/>
      <c r="L22" s="133"/>
    </row>
    <row r="23" spans="1:12" x14ac:dyDescent="0.25">
      <c r="E23" s="133"/>
      <c r="F23" s="133"/>
      <c r="G23" s="133">
        <v>37</v>
      </c>
      <c r="H23" s="133" t="s">
        <v>294</v>
      </c>
      <c r="I23" s="133">
        <f>IF(AND(OR('stringopbouw advies'!Q15=5,'stringopbouw advies'!Q15=6),OR('stringopbouw advies'!Q17=1,'stringopbouw advies'!Q17=4,'stringopbouw advies'!Q17=6,'stringopbouw advies'!Q17=8),OR('stringopbouw advies'!Q18=0,'stringopbouw advies'!Q18=1),ISNUMBER(SEARCH("IDPS",'tussenstap advies'!C29)),ISNUMBER(SEARCH("IDPS",'tussenstap advies'!D29))),1,IF(AND(OR('stringopbouw advies'!Q15=5,'stringopbouw advies'!Q15=6),OR('stringopbouw advies'!Q17=1,'stringopbouw advies'!Q17=4,'stringopbouw advies'!Q17=6,'stringopbouw advies'!Q17=8),OR('stringopbouw advies'!Q18=0,'stringopbouw advies'!Q18=1),ISNUMBER(SEARCH("IDPS",'tussenstap advies'!C30)),ISNUMBER(SEARCH("IDPS",'tussenstap advies'!D30))),1,0))</f>
        <v>0</v>
      </c>
      <c r="J23" s="133" t="s">
        <v>322</v>
      </c>
      <c r="K23" s="133"/>
      <c r="L23" s="133"/>
    </row>
    <row r="24" spans="1:12" x14ac:dyDescent="0.25">
      <c r="E24" s="133"/>
      <c r="F24" s="133"/>
      <c r="G24" s="133">
        <v>38</v>
      </c>
      <c r="H24" s="133" t="s">
        <v>260</v>
      </c>
      <c r="I24" s="133">
        <f>IF(AND(OR('stringopbouw advies'!Q15=5,'stringopbouw advies'!Q15=6),'stringopbouw advies'!Q17=1,'stringopbouw advies'!Q18=2,ISNUMBER(SEARCH("IDPS",'tussenstap advies'!C19)),ISNUMBER(SEARCH("IDPS",'tussenstap advies'!D19))),1,0)</f>
        <v>0</v>
      </c>
      <c r="J24" s="133" t="s">
        <v>352</v>
      </c>
      <c r="K24" s="133"/>
      <c r="L24" s="133"/>
    </row>
    <row r="28" spans="1:12" x14ac:dyDescent="0.25">
      <c r="A28" t="b">
        <f>IF(B12="","",IF('stringopbouw advies'!$Q$17=1,6))</f>
        <v>0</v>
      </c>
    </row>
  </sheetData>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6B34B-3AB7-45FE-ACC9-FF74898779D8}">
  <sheetPr codeName="Sheet10"/>
  <dimension ref="A1:J31"/>
  <sheetViews>
    <sheetView zoomScale="120" zoomScaleNormal="120" workbookViewId="0">
      <selection activeCell="K20" sqref="K20"/>
    </sheetView>
  </sheetViews>
  <sheetFormatPr defaultRowHeight="15" x14ac:dyDescent="0.25"/>
  <cols>
    <col min="1" max="1" width="16.5703125" bestFit="1" customWidth="1"/>
    <col min="3" max="3" width="12.7109375" bestFit="1" customWidth="1"/>
    <col min="4" max="4" width="8.7109375" bestFit="1" customWidth="1"/>
    <col min="7" max="7" width="10.5703125" bestFit="1" customWidth="1"/>
    <col min="9" max="9" width="10.5703125" bestFit="1" customWidth="1"/>
  </cols>
  <sheetData>
    <row r="1" spans="1:10" ht="15.75" thickBot="1" x14ac:dyDescent="0.3"/>
    <row r="2" spans="1:10" ht="15.75" thickBot="1" x14ac:dyDescent="0.3">
      <c r="A2" s="27" t="s">
        <v>108</v>
      </c>
      <c r="B2" s="28" t="s">
        <v>109</v>
      </c>
      <c r="C2" s="28" t="s">
        <v>110</v>
      </c>
      <c r="D2" s="28" t="s">
        <v>111</v>
      </c>
      <c r="E2" s="28" t="s">
        <v>112</v>
      </c>
      <c r="F2" s="28" t="s">
        <v>113</v>
      </c>
      <c r="G2" s="28" t="s">
        <v>114</v>
      </c>
      <c r="H2" s="28" t="s">
        <v>115</v>
      </c>
      <c r="I2" s="28" t="s">
        <v>116</v>
      </c>
      <c r="J2" s="28" t="s">
        <v>117</v>
      </c>
    </row>
    <row r="3" spans="1:10" ht="15.75" thickBot="1" x14ac:dyDescent="0.3">
      <c r="A3" s="29"/>
      <c r="B3" s="30"/>
      <c r="C3" s="30"/>
      <c r="D3" s="30"/>
      <c r="E3" s="30"/>
      <c r="F3" s="30"/>
      <c r="G3" s="30"/>
      <c r="H3" s="30"/>
      <c r="I3" s="30"/>
      <c r="J3" s="30"/>
    </row>
    <row r="4" spans="1:10" ht="15.75" thickBot="1" x14ac:dyDescent="0.3">
      <c r="A4" s="31" t="s">
        <v>118</v>
      </c>
      <c r="B4" s="32" t="s">
        <v>119</v>
      </c>
      <c r="C4" s="32" t="s">
        <v>120</v>
      </c>
      <c r="D4" s="33" t="s">
        <v>121</v>
      </c>
      <c r="E4" s="32" t="s">
        <v>122</v>
      </c>
      <c r="F4" s="33">
        <v>629</v>
      </c>
      <c r="G4" s="32" t="s">
        <v>123</v>
      </c>
      <c r="H4" s="33">
        <v>684</v>
      </c>
      <c r="I4" s="32" t="s">
        <v>124</v>
      </c>
      <c r="J4" s="33">
        <v>164</v>
      </c>
    </row>
    <row r="5" spans="1:10" ht="15.75" thickBot="1" x14ac:dyDescent="0.3">
      <c r="A5" s="31" t="s">
        <v>125</v>
      </c>
      <c r="B5" s="32" t="s">
        <v>119</v>
      </c>
      <c r="C5" s="32" t="s">
        <v>126</v>
      </c>
      <c r="D5" s="33">
        <v>465</v>
      </c>
      <c r="E5" s="34" t="s">
        <v>127</v>
      </c>
      <c r="F5" s="33">
        <v>582</v>
      </c>
      <c r="G5" s="30"/>
      <c r="H5" s="30"/>
      <c r="I5" s="30"/>
      <c r="J5" s="30"/>
    </row>
    <row r="6" spans="1:10" ht="15.75" thickBot="1" x14ac:dyDescent="0.3">
      <c r="A6" s="31" t="s">
        <v>128</v>
      </c>
      <c r="B6" s="33">
        <v>3922</v>
      </c>
      <c r="C6" s="32" t="s">
        <v>126</v>
      </c>
      <c r="D6" s="33">
        <v>465</v>
      </c>
      <c r="E6" s="34" t="s">
        <v>127</v>
      </c>
      <c r="F6" s="33">
        <v>582</v>
      </c>
      <c r="G6" s="32" t="s">
        <v>129</v>
      </c>
      <c r="H6" s="33">
        <v>166</v>
      </c>
      <c r="I6" s="30"/>
      <c r="J6" s="30"/>
    </row>
    <row r="7" spans="1:10" ht="15.75" thickBot="1" x14ac:dyDescent="0.3">
      <c r="A7" s="31" t="s">
        <v>130</v>
      </c>
      <c r="B7" s="33">
        <v>3985</v>
      </c>
      <c r="C7" s="32" t="s">
        <v>126</v>
      </c>
      <c r="D7" s="33">
        <v>465</v>
      </c>
      <c r="E7" s="34" t="s">
        <v>127</v>
      </c>
      <c r="F7" s="33">
        <v>582</v>
      </c>
      <c r="G7" s="32" t="s">
        <v>129</v>
      </c>
      <c r="H7" s="33">
        <v>166</v>
      </c>
      <c r="I7" s="30"/>
      <c r="J7" s="30"/>
    </row>
    <row r="8" spans="1:10" ht="15.75" thickBot="1" x14ac:dyDescent="0.3">
      <c r="A8" s="31" t="s">
        <v>131</v>
      </c>
      <c r="B8" s="33">
        <v>1430</v>
      </c>
      <c r="C8" s="32" t="s">
        <v>120</v>
      </c>
      <c r="D8" s="33" t="s">
        <v>121</v>
      </c>
      <c r="E8" s="34" t="s">
        <v>132</v>
      </c>
      <c r="F8" s="33">
        <v>629</v>
      </c>
      <c r="G8" s="32" t="s">
        <v>123</v>
      </c>
      <c r="H8" s="33">
        <v>684</v>
      </c>
      <c r="I8" s="32" t="s">
        <v>123</v>
      </c>
      <c r="J8" s="33">
        <v>684</v>
      </c>
    </row>
    <row r="9" spans="1:10" ht="15.75" thickBot="1" x14ac:dyDescent="0.3">
      <c r="A9" s="31" t="s">
        <v>133</v>
      </c>
      <c r="B9" s="33">
        <v>1888</v>
      </c>
      <c r="C9" s="32" t="s">
        <v>126</v>
      </c>
      <c r="D9" s="33">
        <v>465</v>
      </c>
      <c r="E9" s="34" t="s">
        <v>127</v>
      </c>
      <c r="F9" s="33">
        <v>582</v>
      </c>
      <c r="G9" s="32" t="s">
        <v>129</v>
      </c>
      <c r="H9" s="33">
        <v>166</v>
      </c>
      <c r="I9" s="30"/>
      <c r="J9" s="30"/>
    </row>
    <row r="10" spans="1:10" ht="15.75" thickBot="1" x14ac:dyDescent="0.3">
      <c r="A10" s="31" t="s">
        <v>134</v>
      </c>
      <c r="B10" s="33">
        <v>1411</v>
      </c>
      <c r="C10" s="32" t="s">
        <v>126</v>
      </c>
      <c r="D10" s="33">
        <v>465</v>
      </c>
      <c r="E10" s="34" t="s">
        <v>127</v>
      </c>
      <c r="F10" s="33">
        <v>582</v>
      </c>
      <c r="G10" s="32" t="s">
        <v>129</v>
      </c>
      <c r="H10" s="33">
        <v>166</v>
      </c>
      <c r="I10" s="30"/>
      <c r="J10" s="30"/>
    </row>
    <row r="11" spans="1:10" ht="15.75" thickBot="1" x14ac:dyDescent="0.3">
      <c r="A11" s="31" t="s">
        <v>135</v>
      </c>
      <c r="B11" s="33">
        <v>1396</v>
      </c>
      <c r="C11" s="32" t="s">
        <v>126</v>
      </c>
      <c r="D11" s="33">
        <v>465</v>
      </c>
      <c r="E11" s="34" t="s">
        <v>127</v>
      </c>
      <c r="F11" s="33">
        <v>582</v>
      </c>
      <c r="G11" s="32" t="s">
        <v>129</v>
      </c>
      <c r="H11" s="33">
        <v>166</v>
      </c>
      <c r="I11" s="30"/>
      <c r="J11" s="30"/>
    </row>
    <row r="12" spans="1:10" ht="15.75" thickBot="1" x14ac:dyDescent="0.3">
      <c r="A12" s="31" t="s">
        <v>136</v>
      </c>
      <c r="B12" s="33">
        <v>1774</v>
      </c>
      <c r="C12" s="32" t="s">
        <v>126</v>
      </c>
      <c r="D12" s="33">
        <v>465</v>
      </c>
      <c r="E12" s="34" t="s">
        <v>127</v>
      </c>
      <c r="F12" s="33">
        <v>582</v>
      </c>
      <c r="G12" s="32" t="s">
        <v>129</v>
      </c>
      <c r="H12" s="33">
        <v>166</v>
      </c>
      <c r="I12" s="30"/>
      <c r="J12" s="30"/>
    </row>
    <row r="14" spans="1:10" x14ac:dyDescent="0.25">
      <c r="A14" s="26"/>
      <c r="B14" s="26"/>
    </row>
    <row r="15" spans="1:10" x14ac:dyDescent="0.25">
      <c r="A15" s="35" t="s">
        <v>118</v>
      </c>
      <c r="B15" s="35">
        <v>8500</v>
      </c>
      <c r="C15" s="38" t="s">
        <v>137</v>
      </c>
    </row>
    <row r="16" spans="1:10" x14ac:dyDescent="0.25">
      <c r="A16" s="35" t="s">
        <v>125</v>
      </c>
      <c r="B16" s="35">
        <v>1810</v>
      </c>
      <c r="C16" s="38" t="s">
        <v>119</v>
      </c>
    </row>
    <row r="17" spans="1:2" x14ac:dyDescent="0.25">
      <c r="A17" s="35" t="s">
        <v>128</v>
      </c>
      <c r="B17" s="36">
        <v>3922</v>
      </c>
    </row>
    <row r="18" spans="1:2" x14ac:dyDescent="0.25">
      <c r="A18" s="35" t="s">
        <v>130</v>
      </c>
      <c r="B18" s="36">
        <v>3985</v>
      </c>
    </row>
    <row r="19" spans="1:2" x14ac:dyDescent="0.25">
      <c r="A19" s="35" t="s">
        <v>131</v>
      </c>
      <c r="B19" s="36">
        <v>1430</v>
      </c>
    </row>
    <row r="20" spans="1:2" x14ac:dyDescent="0.25">
      <c r="A20" s="35" t="s">
        <v>133</v>
      </c>
      <c r="B20" s="36">
        <v>1888</v>
      </c>
    </row>
    <row r="21" spans="1:2" x14ac:dyDescent="0.25">
      <c r="A21" s="35" t="s">
        <v>134</v>
      </c>
      <c r="B21" s="36">
        <v>1411</v>
      </c>
    </row>
    <row r="22" spans="1:2" x14ac:dyDescent="0.25">
      <c r="A22" s="35" t="s">
        <v>135</v>
      </c>
      <c r="B22" s="36">
        <v>1396</v>
      </c>
    </row>
    <row r="23" spans="1:2" x14ac:dyDescent="0.25">
      <c r="A23" s="35" t="s">
        <v>136</v>
      </c>
      <c r="B23" s="36">
        <v>1774</v>
      </c>
    </row>
    <row r="24" spans="1:2" x14ac:dyDescent="0.25">
      <c r="A24" s="35" t="s">
        <v>120</v>
      </c>
      <c r="B24" s="36" t="s">
        <v>121</v>
      </c>
    </row>
    <row r="25" spans="1:2" x14ac:dyDescent="0.25">
      <c r="A25" s="35" t="s">
        <v>126</v>
      </c>
      <c r="B25" s="36">
        <v>465</v>
      </c>
    </row>
    <row r="26" spans="1:2" x14ac:dyDescent="0.25">
      <c r="A26" s="35" t="s">
        <v>122</v>
      </c>
      <c r="B26" s="36">
        <v>629</v>
      </c>
    </row>
    <row r="27" spans="1:2" x14ac:dyDescent="0.25">
      <c r="A27" s="37" t="s">
        <v>127</v>
      </c>
      <c r="B27" s="36">
        <v>582</v>
      </c>
    </row>
    <row r="28" spans="1:2" x14ac:dyDescent="0.25">
      <c r="A28" s="39" t="s">
        <v>132</v>
      </c>
      <c r="B28" s="36">
        <v>629</v>
      </c>
    </row>
    <row r="29" spans="1:2" x14ac:dyDescent="0.25">
      <c r="A29" s="35" t="s">
        <v>123</v>
      </c>
      <c r="B29" s="36">
        <v>684</v>
      </c>
    </row>
    <row r="30" spans="1:2" x14ac:dyDescent="0.25">
      <c r="A30" s="35" t="s">
        <v>129</v>
      </c>
      <c r="B30" s="36">
        <v>166</v>
      </c>
    </row>
    <row r="31" spans="1:2" x14ac:dyDescent="0.25">
      <c r="A31" s="35" t="s">
        <v>124</v>
      </c>
      <c r="B31" s="36">
        <v>164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Introductie</vt:lpstr>
      <vt:lpstr>Vragenlijst</vt:lpstr>
      <vt:lpstr>Adviesrichting</vt:lpstr>
      <vt:lpstr>Investeringstabel</vt:lpstr>
      <vt:lpstr>tussenstap advies</vt:lpstr>
      <vt:lpstr>stringopbouw advies</vt:lpstr>
      <vt:lpstr>adviesopties</vt:lpstr>
      <vt:lpstr>Sheet1</vt:lpstr>
      <vt:lpstr>koudemiddelen</vt:lpstr>
      <vt:lpstr>dropdowns</vt:lpstr>
      <vt:lpstr>dynamische dropdowns</vt:lpstr>
      <vt:lpstr>_5b</vt:lpstr>
      <vt:lpstr>_5c</vt:lpstr>
      <vt:lpstr>_5d</vt:lpstr>
      <vt:lpstr>_5e</vt:lpstr>
      <vt:lpstr>_5f</vt:lpstr>
      <vt:lpstr>_5g</vt:lpstr>
      <vt:lpstr>beginsysteem</vt:lpstr>
      <vt:lpstr>empty_7</vt:lpstr>
      <vt:lpstr>list_7</vt:lpstr>
      <vt:lpstr>list7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Soethoudt, Han</dc:creator>
  <cp:lastModifiedBy>Vogels, Jan</cp:lastModifiedBy>
  <cp:lastPrinted>2026-02-09T11:08:28Z</cp:lastPrinted>
  <dcterms:created xsi:type="dcterms:W3CDTF">2025-09-18T11:10:24Z</dcterms:created>
  <dcterms:modified xsi:type="dcterms:W3CDTF">2026-03-26T09:57:32Z</dcterms:modified>
</cp:coreProperties>
</file>